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Fals2\9_Fuehrung_FALS\94 Fachgruppen\CercleBruit\vollzugsordner\Vollzugshilfe-gaststaettenlaerm\deutsche-fassung\version5-2019-nachvernehmlassung\"/>
    </mc:Choice>
  </mc:AlternateContent>
  <bookViews>
    <workbookView xWindow="240" yWindow="150" windowWidth="15600" windowHeight="7425" activeTab="2"/>
  </bookViews>
  <sheets>
    <sheet name="Ablaufschema" sheetId="12" r:id="rId1"/>
    <sheet name="Messprotokoll_leer" sheetId="4" r:id="rId2"/>
    <sheet name="Messprotokoll_ausgefuellt" sheetId="11" r:id="rId3"/>
  </sheets>
  <definedNames>
    <definedName name="Bewilligungsdatum" localSheetId="2">Messprotokoll_ausgefuellt!$F$10</definedName>
    <definedName name="Bewilligungsdatum" localSheetId="1">Messprotokoll_leer!$F$10</definedName>
    <definedName name="ES" localSheetId="2">Messprotokoll_ausgefuellt!$F$7</definedName>
    <definedName name="ES" localSheetId="1">Messprotokoll_leer!$F$7</definedName>
    <definedName name="Uhrzeit" localSheetId="2">Messprotokoll_ausgefuellt!$M$4</definedName>
    <definedName name="Uhrzeit" localSheetId="1">Messprotokoll_leer!$M$4</definedName>
  </definedNames>
  <calcPr calcId="162913"/>
</workbook>
</file>

<file path=xl/calcChain.xml><?xml version="1.0" encoding="utf-8"?>
<calcChain xmlns="http://schemas.openxmlformats.org/spreadsheetml/2006/main">
  <c r="I42" i="4" l="1"/>
  <c r="B42" i="4"/>
  <c r="I42" i="11"/>
  <c r="M35" i="4"/>
  <c r="F35" i="4"/>
  <c r="M35" i="11"/>
  <c r="F35" i="11"/>
  <c r="B42" i="11"/>
  <c r="K38" i="11" l="1"/>
  <c r="D38" i="11"/>
  <c r="C42" i="11" l="1"/>
  <c r="J46" i="11"/>
  <c r="C46" i="11"/>
  <c r="K44" i="11"/>
  <c r="I44" i="11"/>
  <c r="D44" i="11"/>
  <c r="E45" i="11" s="1"/>
  <c r="I40" i="11"/>
  <c r="J42" i="11"/>
  <c r="I33" i="11"/>
  <c r="I27" i="11"/>
  <c r="J25" i="11"/>
  <c r="I25" i="11"/>
  <c r="C25" i="11"/>
  <c r="M23" i="11"/>
  <c r="L23" i="11"/>
  <c r="F23" i="11"/>
  <c r="E23" i="11"/>
  <c r="M22" i="11"/>
  <c r="L22" i="11"/>
  <c r="F22" i="11"/>
  <c r="E22" i="11"/>
  <c r="M21" i="11"/>
  <c r="L21" i="11"/>
  <c r="F21" i="11"/>
  <c r="E21" i="11"/>
  <c r="M20" i="11"/>
  <c r="L20" i="11"/>
  <c r="F20" i="11"/>
  <c r="E20" i="11"/>
  <c r="M19" i="11"/>
  <c r="L19" i="11"/>
  <c r="F19" i="11"/>
  <c r="E19" i="11"/>
  <c r="E25" i="11" s="1"/>
  <c r="C38" i="11" s="1"/>
  <c r="M18" i="11"/>
  <c r="L18" i="11"/>
  <c r="F18" i="11"/>
  <c r="E18" i="11"/>
  <c r="M17" i="11"/>
  <c r="L17" i="11"/>
  <c r="L25" i="11" s="1"/>
  <c r="J38" i="11" s="1"/>
  <c r="F17" i="11"/>
  <c r="E17" i="11"/>
  <c r="M16" i="11"/>
  <c r="L16" i="11"/>
  <c r="F16" i="11"/>
  <c r="E16" i="11"/>
  <c r="M15" i="11"/>
  <c r="L15" i="11"/>
  <c r="F15" i="11"/>
  <c r="E15" i="11"/>
  <c r="I13" i="11"/>
  <c r="L45" i="11" l="1"/>
  <c r="K45" i="11"/>
  <c r="M45" i="11"/>
  <c r="M38" i="11"/>
  <c r="K42" i="11" s="1"/>
  <c r="F38" i="11"/>
  <c r="D42" i="11" s="1"/>
  <c r="F45" i="11"/>
  <c r="D45" i="11"/>
  <c r="I25" i="4"/>
  <c r="M42" i="11" l="1"/>
  <c r="I46" i="11" s="1"/>
  <c r="K46" i="11" s="1"/>
  <c r="F42" i="11"/>
  <c r="B46" i="11" s="1"/>
  <c r="F46" i="11" s="1"/>
  <c r="D44" i="4"/>
  <c r="F45" i="4" s="1"/>
  <c r="M46" i="11" l="1"/>
  <c r="L46" i="11"/>
  <c r="E46" i="11"/>
  <c r="D46" i="11"/>
  <c r="D45" i="4"/>
  <c r="E45" i="4"/>
  <c r="M42" i="4"/>
  <c r="D38" i="4"/>
  <c r="K38" i="4"/>
  <c r="C42" i="4"/>
  <c r="J42" i="4"/>
  <c r="I40" i="4"/>
  <c r="I44" i="4"/>
  <c r="I27" i="4"/>
  <c r="I13" i="4"/>
  <c r="I33" i="4"/>
  <c r="K44" i="4" l="1"/>
  <c r="L45" i="4" l="1"/>
  <c r="K45" i="4"/>
  <c r="M45" i="4"/>
  <c r="L23" i="4"/>
  <c r="M23" i="4"/>
  <c r="E23" i="4"/>
  <c r="F23" i="4"/>
  <c r="L22" i="4"/>
  <c r="M22" i="4"/>
  <c r="E22" i="4"/>
  <c r="F22" i="4"/>
  <c r="L21" i="4"/>
  <c r="M21" i="4"/>
  <c r="E21" i="4"/>
  <c r="F21" i="4"/>
  <c r="L20" i="4"/>
  <c r="M20" i="4"/>
  <c r="E20" i="4"/>
  <c r="F20" i="4"/>
  <c r="L19" i="4"/>
  <c r="M19" i="4"/>
  <c r="E19" i="4"/>
  <c r="F19" i="4"/>
  <c r="L18" i="4"/>
  <c r="L25" i="4" s="1"/>
  <c r="J38" i="4" s="1"/>
  <c r="M38" i="4" s="1"/>
  <c r="M18" i="4"/>
  <c r="E18" i="4"/>
  <c r="F18" i="4"/>
  <c r="L17" i="4"/>
  <c r="M17" i="4"/>
  <c r="E17" i="4"/>
  <c r="F17" i="4"/>
  <c r="L16" i="4"/>
  <c r="M16" i="4"/>
  <c r="E16" i="4"/>
  <c r="F16" i="4"/>
  <c r="L15" i="4"/>
  <c r="M15" i="4"/>
  <c r="E15" i="4"/>
  <c r="E25" i="4" s="1"/>
  <c r="C38" i="4" s="1"/>
  <c r="F38" i="4" s="1"/>
  <c r="D42" i="4" s="1"/>
  <c r="F15" i="4"/>
  <c r="J25" i="4"/>
  <c r="C25" i="4"/>
  <c r="J46" i="4"/>
  <c r="C46" i="4"/>
  <c r="F42" i="4" l="1"/>
  <c r="B46" i="4" s="1"/>
  <c r="D46" i="4" s="1"/>
  <c r="I46" i="4"/>
  <c r="K42" i="4"/>
  <c r="L46" i="4" l="1"/>
  <c r="M46" i="4"/>
  <c r="K46" i="4"/>
  <c r="E46" i="4"/>
  <c r="F46" i="4"/>
</calcChain>
</file>

<file path=xl/comments1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</commentList>
</comments>
</file>

<file path=xl/comments2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Hier wird automatisch aufgrund des Bewilligungsdatum eingeblendet, ob es sich um eine Neuanlage oder eine bestehende Anlage handelt.
</t>
        </r>
      </text>
    </comment>
  </commentList>
</comments>
</file>

<file path=xl/sharedStrings.xml><?xml version="1.0" encoding="utf-8"?>
<sst xmlns="http://schemas.openxmlformats.org/spreadsheetml/2006/main" count="272" uniqueCount="86">
  <si>
    <t>Zeit</t>
  </si>
  <si>
    <t>Rang</t>
  </si>
  <si>
    <t>Direkter Luftschall (Messort: Mitte offenes Fenster)</t>
  </si>
  <si>
    <t>Tag</t>
  </si>
  <si>
    <t>Abend</t>
  </si>
  <si>
    <t>Nacht</t>
  </si>
  <si>
    <t>I</t>
  </si>
  <si>
    <t>II</t>
  </si>
  <si>
    <t>III</t>
  </si>
  <si>
    <t>IV</t>
  </si>
  <si>
    <t>ES</t>
  </si>
  <si>
    <t>Neuanlage
(bewilligt nach dem 01.01.1985)</t>
  </si>
  <si>
    <t>bestehende Anlage
(bewilligt vor dem 01.01.1985)</t>
  </si>
  <si>
    <t>Gemessene Geräusch deutlich lauter als Grundgeräusch</t>
  </si>
  <si>
    <t>Während der Messung Grundgeräusch schwach hörbar</t>
  </si>
  <si>
    <t>während der Messung Grundgeräusch deutlich hörbar</t>
  </si>
  <si>
    <t>Während der Messung Grundgeräusch gleich laut wie Musik</t>
  </si>
  <si>
    <t>Befund</t>
  </si>
  <si>
    <t>Kriterium</t>
  </si>
  <si>
    <r>
      <t>K</t>
    </r>
    <r>
      <rPr>
        <i/>
        <vertAlign val="subscript"/>
        <sz val="10"/>
        <color rgb="FF000000"/>
        <rFont val="Arial"/>
        <family val="2"/>
      </rPr>
      <t>G</t>
    </r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</si>
  <si>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A,eq,m,10s </t>
    </r>
    <r>
      <rPr>
        <b/>
        <i/>
        <sz val="10"/>
        <color theme="1"/>
        <rFont val="Arial"/>
        <family val="2"/>
      </rPr>
      <t xml:space="preserve"> </t>
    </r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</si>
  <si>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</si>
  <si>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t>Gemeinde:</t>
  </si>
  <si>
    <t>Strasse:</t>
  </si>
  <si>
    <t>Stockwerk:</t>
  </si>
  <si>
    <t>ES:</t>
  </si>
  <si>
    <t>Datum:</t>
  </si>
  <si>
    <t>Wohnung:</t>
  </si>
  <si>
    <t>x</t>
  </si>
  <si>
    <r>
      <t>+ K</t>
    </r>
    <r>
      <rPr>
        <b/>
        <i/>
        <vertAlign val="subscript"/>
        <sz val="10"/>
        <color theme="1"/>
        <rFont val="Arial"/>
        <family val="2"/>
      </rPr>
      <t>G</t>
    </r>
  </si>
  <si>
    <r>
      <t>+ K</t>
    </r>
    <r>
      <rPr>
        <b/>
        <i/>
        <vertAlign val="subscript"/>
        <sz val="10"/>
        <color theme="1"/>
        <rFont val="Arial"/>
        <family val="2"/>
      </rPr>
      <t>C-A</t>
    </r>
  </si>
  <si>
    <r>
      <t>= 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</si>
  <si>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t>bewilligt am:</t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</si>
  <si>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>:</t>
    </r>
  </si>
  <si>
    <t>Dauer in
Sekunden</t>
  </si>
  <si>
    <t>Lärmart:</t>
  </si>
  <si>
    <t>Name, Vorname:</t>
  </si>
  <si>
    <t>Name des Betriebs:</t>
  </si>
  <si>
    <t>Institution:</t>
  </si>
  <si>
    <t>Bemer-kungen:</t>
  </si>
  <si>
    <r>
      <t>L</t>
    </r>
    <r>
      <rPr>
        <i/>
        <vertAlign val="subscript"/>
        <sz val="10"/>
        <color theme="1"/>
        <rFont val="Arial"/>
        <family val="2"/>
      </rPr>
      <t>A,eq,G</t>
    </r>
  </si>
  <si>
    <r>
      <t>L</t>
    </r>
    <r>
      <rPr>
        <i/>
        <vertAlign val="subscript"/>
        <sz val="10"/>
        <color theme="1"/>
        <rFont val="Arial"/>
        <family val="2"/>
      </rPr>
      <t>C,eq,G</t>
    </r>
  </si>
  <si>
    <t>2c) Korrektur für tieffrequente Geräusche</t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</si>
  <si>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 xml:space="preserve"> </t>
    </r>
  </si>
  <si>
    <r>
      <t>L</t>
    </r>
    <r>
      <rPr>
        <i/>
        <vertAlign val="subscript"/>
        <sz val="10"/>
        <color theme="1"/>
        <rFont val="Arial"/>
        <family val="2"/>
      </rPr>
      <t>C,eq,m,10s</t>
    </r>
  </si>
  <si>
    <r>
      <t>L</t>
    </r>
    <r>
      <rPr>
        <i/>
        <vertAlign val="subscript"/>
        <sz val="10"/>
        <color theme="1"/>
        <rFont val="Arial"/>
        <family val="2"/>
      </rPr>
      <t>A,eq,m,10s</t>
    </r>
  </si>
  <si>
    <r>
      <t>K</t>
    </r>
    <r>
      <rPr>
        <b/>
        <i/>
        <vertAlign val="subscript"/>
        <sz val="10"/>
        <color theme="1"/>
        <rFont val="Arial"/>
        <family val="2"/>
      </rPr>
      <t>C-A</t>
    </r>
  </si>
  <si>
    <t>Uhrzeit</t>
  </si>
  <si>
    <t>≤ 12 dB?</t>
  </si>
  <si>
    <r>
      <rPr>
        <u/>
        <sz val="8"/>
        <color theme="1"/>
        <rFont val="Arial"/>
        <family val="2"/>
      </rPr>
      <t>ohne</t>
    </r>
    <r>
      <rPr>
        <sz val="8"/>
        <color theme="1"/>
        <rFont val="Arial"/>
        <family val="2"/>
      </rPr>
      <t xml:space="preserve"> Grundgeräusch</t>
    </r>
  </si>
  <si>
    <r>
      <rPr>
        <u/>
        <sz val="8"/>
        <color theme="1"/>
        <rFont val="Arial"/>
        <family val="2"/>
      </rPr>
      <t>mit</t>
    </r>
    <r>
      <rPr>
        <sz val="8"/>
        <color theme="1"/>
        <rFont val="Arial"/>
        <family val="2"/>
      </rPr>
      <t xml:space="preserve"> Grundgeräusch</t>
    </r>
  </si>
  <si>
    <t>Formel 1</t>
  </si>
  <si>
    <t>Messung und Beurteilung von Musiklärm (S1; S5) und Kundenlärm (S2) am Immissionsort</t>
  </si>
  <si>
    <t>Tabelle 1: Richtwerte für als Luftschall abgestrahlter Körperschall (dB)</t>
  </si>
  <si>
    <t>Tabelle 2: Richtwerte für direkten Luftschall (dB)</t>
  </si>
  <si>
    <t>A1) Ort der Immissionen:</t>
  </si>
  <si>
    <t>A2) Ort der Emissionen:</t>
  </si>
  <si>
    <t>A3) Messung:</t>
  </si>
  <si>
    <t>B) Messung 10-Sekunden-Leq</t>
  </si>
  <si>
    <t>C1) Grundgeräuschpegelkorrektur aufgrund Hörbarkeit:</t>
  </si>
  <si>
    <t>C2) Grundgeräuschpegelkorrektur aufgrund Messung</t>
  </si>
  <si>
    <t>C3 Korrektur für tieffrequente Geräusche</t>
  </si>
  <si>
    <t>E) Richtwerte eingehalten für</t>
  </si>
  <si>
    <t>Formel 2</t>
  </si>
  <si>
    <t>Formel 3</t>
  </si>
  <si>
    <t>Formel 4</t>
  </si>
  <si>
    <t>Formel 5</t>
  </si>
  <si>
    <t>Franz Muster</t>
  </si>
  <si>
    <t>S1&amp;S2&amp;S5</t>
  </si>
  <si>
    <t>Max - Min:</t>
  </si>
  <si>
    <r>
      <t>+ K</t>
    </r>
    <r>
      <rPr>
        <b/>
        <i/>
        <vertAlign val="subscript"/>
        <sz val="10"/>
        <color theme="1"/>
        <rFont val="Arial"/>
        <family val="2"/>
      </rPr>
      <t>H</t>
    </r>
  </si>
  <si>
    <t>Seldwyla</t>
  </si>
  <si>
    <t>Gasse 2</t>
  </si>
  <si>
    <t>1. OG</t>
  </si>
  <si>
    <t>Meier</t>
  </si>
  <si>
    <t>Halligalli Musik &amp; Tanz</t>
  </si>
  <si>
    <t>Ingenierbüro Muster GmbH</t>
  </si>
  <si>
    <t>Leichter Regen, wenig Autoverkehr,</t>
  </si>
  <si>
    <t>Uhrzeit von:</t>
  </si>
  <si>
    <t>Uhrzeit bis:</t>
  </si>
  <si>
    <t>D) Beurteilungspegel:</t>
  </si>
  <si>
    <t>vereinzelt Trolleybusse</t>
  </si>
  <si>
    <t>Als Luftschall abgestrahlter Körperschall (Messort: Mitte des Raumes bei geschlossenen Fenstern und Türen)</t>
  </si>
  <si>
    <t>Schallpegel-messgerät:</t>
  </si>
  <si>
    <t>B&amp;K2000</t>
  </si>
  <si>
    <t>Ermittlung und Beurteilung des Lärms von öffentlichen Lokalen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</si>
</sst>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\ &quot;dB&quot;"/>
    <numFmt numFmtId="166" formatCode="0\ &quot;dB&quot;"/>
    <numFmt numFmtId="167" formatCode="dd/mm/yy;@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i/>
      <sz val="10"/>
      <color rgb="FF000000"/>
      <name val="Arial"/>
      <family val="2"/>
    </font>
    <font>
      <i/>
      <vertAlign val="subscript"/>
      <sz val="10"/>
      <color rgb="FF000000"/>
      <name val="Arial"/>
      <family val="2"/>
    </font>
    <font>
      <sz val="9"/>
      <color theme="1"/>
      <name val="Arial"/>
      <family val="2"/>
    </font>
    <font>
      <u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i/>
      <vertAlign val="sub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0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4" borderId="22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7" fillId="4" borderId="28" xfId="0" quotePrefix="1" applyFont="1" applyFill="1" applyBorder="1" applyAlignment="1">
      <alignment vertical="center" wrapText="1"/>
    </xf>
    <xf numFmtId="0" fontId="0" fillId="4" borderId="28" xfId="0" quotePrefix="1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4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28" xfId="0" quotePrefix="1" applyFont="1" applyFill="1" applyBorder="1" applyAlignment="1">
      <alignment vertical="center" wrapText="1"/>
    </xf>
    <xf numFmtId="0" fontId="0" fillId="3" borderId="28" xfId="0" quotePrefix="1" applyFont="1" applyFill="1" applyBorder="1" applyAlignment="1">
      <alignment horizontal="center" vertical="center" wrapText="1"/>
    </xf>
    <xf numFmtId="0" fontId="9" fillId="2" borderId="29" xfId="0" quotePrefix="1" applyFont="1" applyFill="1" applyBorder="1" applyAlignment="1">
      <alignment horizontal="center" vertical="center"/>
    </xf>
    <xf numFmtId="0" fontId="9" fillId="2" borderId="30" xfId="0" quotePrefix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5" fontId="0" fillId="0" borderId="29" xfId="0" applyNumberFormat="1" applyFill="1" applyBorder="1" applyAlignment="1" applyProtection="1">
      <alignment horizontal="center" vertical="center"/>
      <protection locked="0"/>
    </xf>
    <xf numFmtId="165" fontId="0" fillId="3" borderId="25" xfId="0" applyNumberFormat="1" applyFill="1" applyBorder="1" applyAlignment="1">
      <alignment horizontal="center" vertical="center"/>
    </xf>
    <xf numFmtId="165" fontId="0" fillId="4" borderId="25" xfId="0" applyNumberForma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 applyProtection="1">
      <alignment horizontal="center" vertical="center"/>
    </xf>
    <xf numFmtId="165" fontId="0" fillId="5" borderId="3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>
      <alignment horizontal="center" vertical="center"/>
    </xf>
    <xf numFmtId="165" fontId="0" fillId="5" borderId="30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5" fontId="0" fillId="4" borderId="25" xfId="0" applyNumberFormat="1" applyFill="1" applyBorder="1" applyAlignment="1" applyProtection="1">
      <alignment horizontal="center" vertical="center"/>
    </xf>
    <xf numFmtId="165" fontId="0" fillId="3" borderId="25" xfId="0" applyNumberFormat="1" applyFill="1" applyBorder="1" applyAlignment="1" applyProtection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3" fillId="6" borderId="25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0" fillId="6" borderId="25" xfId="0" applyFill="1" applyBorder="1" applyAlignment="1">
      <alignment horizontal="right" wrapText="1"/>
    </xf>
    <xf numFmtId="0" fontId="0" fillId="6" borderId="26" xfId="0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/>
    <xf numFmtId="0" fontId="0" fillId="6" borderId="0" xfId="0" applyFill="1" applyBorder="1" applyAlignment="1">
      <alignment horizontal="right" wrapText="1"/>
    </xf>
    <xf numFmtId="0" fontId="0" fillId="6" borderId="2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Border="1" applyAlignment="1"/>
    <xf numFmtId="0" fontId="0" fillId="6" borderId="0" xfId="0" applyFont="1" applyFill="1" applyBorder="1" applyAlignment="1">
      <alignment horizontal="left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 wrapText="1"/>
    </xf>
    <xf numFmtId="164" fontId="3" fillId="6" borderId="0" xfId="0" applyNumberFormat="1" applyFont="1" applyFill="1" applyBorder="1" applyAlignment="1" applyProtection="1"/>
    <xf numFmtId="0" fontId="0" fillId="6" borderId="27" xfId="0" applyFill="1" applyBorder="1" applyAlignment="1">
      <alignment vertical="center"/>
    </xf>
    <xf numFmtId="0" fontId="0" fillId="6" borderId="2" xfId="0" applyFill="1" applyBorder="1" applyAlignment="1"/>
    <xf numFmtId="0" fontId="0" fillId="6" borderId="2" xfId="0" applyFill="1" applyBorder="1" applyAlignment="1">
      <alignment horizontal="left" vertical="center" wrapText="1"/>
    </xf>
    <xf numFmtId="0" fontId="0" fillId="6" borderId="8" xfId="0" applyFill="1" applyBorder="1" applyAlignment="1">
      <alignment vertical="center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167" fontId="3" fillId="7" borderId="22" xfId="0" applyNumberFormat="1" applyFont="1" applyFill="1" applyBorder="1" applyAlignment="1" applyProtection="1">
      <alignment horizontal="center"/>
      <protection locked="0"/>
    </xf>
    <xf numFmtId="20" fontId="3" fillId="7" borderId="2" xfId="0" applyNumberFormat="1" applyFont="1" applyFill="1" applyBorder="1" applyAlignment="1" applyProtection="1">
      <alignment horizontal="center" wrapText="1"/>
      <protection locked="0"/>
    </xf>
    <xf numFmtId="0" fontId="3" fillId="7" borderId="22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 applyProtection="1">
      <alignment horizontal="center"/>
      <protection locked="0"/>
    </xf>
    <xf numFmtId="0" fontId="7" fillId="0" borderId="1" xfId="0" quotePrefix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0" fillId="2" borderId="21" xfId="0" quotePrefix="1" applyFill="1" applyBorder="1" applyAlignment="1">
      <alignment horizontal="center" vertical="center"/>
    </xf>
    <xf numFmtId="0" fontId="0" fillId="2" borderId="22" xfId="0" quotePrefix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</cellXfs>
  <cellStyles count="1">
    <cellStyle name="Standard" xfId="0" builtinId="0"/>
  </cellStyles>
  <dxfs count="26"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631030</xdr:colOff>
      <xdr:row>70</xdr:row>
      <xdr:rowOff>46783</xdr:rowOff>
    </xdr:from>
    <xdr:to>
      <xdr:col>4</xdr:col>
      <xdr:colOff>631031</xdr:colOff>
      <xdr:row>71</xdr:row>
      <xdr:rowOff>99995</xdr:rowOff>
    </xdr:to>
    <xdr:cxnSp macro="">
      <xdr:nvCxnSpPr>
        <xdr:cNvPr id="2" name="Gewinkelte Verbindung 1"/>
        <xdr:cNvCxnSpPr>
          <a:stCxn id="8" idx="2"/>
          <a:endCxn id="53" idx="0"/>
        </xdr:cNvCxnSpPr>
      </xdr:nvCxnSpPr>
      <xdr:spPr>
        <a:xfrm rot="16200000" flipH="1">
          <a:off x="3571462" y="11489101"/>
          <a:ext cx="215137" cy="1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166689</xdr:colOff>
      <xdr:row>64</xdr:row>
      <xdr:rowOff>42864</xdr:rowOff>
    </xdr:from>
    <xdr:to>
      <xdr:col>6</xdr:col>
      <xdr:colOff>392900</xdr:colOff>
      <xdr:row>64</xdr:row>
      <xdr:rowOff>47214</xdr:rowOff>
    </xdr:to>
    <xdr:cxnSp macro="">
      <xdr:nvCxnSpPr>
        <xdr:cNvPr id="3" name="Gewinkelte Verbindung 2"/>
        <xdr:cNvCxnSpPr>
          <a:stCxn id="68" idx="3"/>
          <a:endCxn id="69" idx="1"/>
        </xdr:cNvCxnSpPr>
      </xdr:nvCxnSpPr>
      <xdr:spPr>
        <a:xfrm>
          <a:off x="4738689" y="10406064"/>
          <a:ext cx="226211" cy="4350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452437</xdr:colOff>
      <xdr:row>5</xdr:row>
      <xdr:rowOff>71437</xdr:rowOff>
    </xdr:from>
    <xdr:to>
      <xdr:col>12</xdr:col>
      <xdr:colOff>523869</xdr:colOff>
      <xdr:row>74</xdr:row>
      <xdr:rowOff>26177</xdr:rowOff>
    </xdr:to>
    <xdr:grpSp>
      <xdr:nvGrpSpPr>
        <xdr:cNvPr id="4" name="Gruppieren 3"/>
        <xdr:cNvGrpSpPr/>
      </xdr:nvGrpSpPr>
      <xdr:grpSpPr>
        <a:xfrm>
          <a:off x="452437" y="904875"/>
          <a:ext cx="9215432" cy="11456177"/>
          <a:chOff x="0" y="166688"/>
          <a:chExt cx="9215432" cy="11456177"/>
        </a:xfrm>
      </xdr:grpSpPr>
      <xdr:grpSp>
        <xdr:nvGrpSpPr>
          <xdr:cNvPr id="5" name="Gruppieren 4"/>
          <xdr:cNvGrpSpPr/>
        </xdr:nvGrpSpPr>
        <xdr:grpSpPr>
          <a:xfrm>
            <a:off x="0" y="166688"/>
            <a:ext cx="9132094" cy="11456177"/>
            <a:chOff x="0" y="166688"/>
            <a:chExt cx="9132094" cy="11456177"/>
          </a:xfrm>
        </xdr:grpSpPr>
        <xdr:sp macro="" textlink="">
          <xdr:nvSpPr>
            <xdr:cNvPr id="8" name="Rechteck 7"/>
            <xdr:cNvSpPr/>
          </xdr:nvSpPr>
          <xdr:spPr>
            <a:xfrm>
              <a:off x="2131220" y="10458433"/>
              <a:ext cx="2190748" cy="518288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1100" b="0" u="none">
                  <a:solidFill>
                    <a:schemeClr val="tx1"/>
                  </a:solidFill>
                </a:rPr>
                <a:t>Berechnen des Beurteilungspegels in</a:t>
              </a:r>
              <a:r>
                <a:rPr lang="de-CH" sz="1100" b="0" u="none" baseline="0">
                  <a:solidFill>
                    <a:schemeClr val="tx1"/>
                  </a:solidFill>
                </a:rPr>
                <a:t> Tabelle D (Formel 5)</a:t>
              </a:r>
              <a:endParaRPr lang="de-CH" sz="1100" b="0" u="none">
                <a:solidFill>
                  <a:schemeClr val="tx1"/>
                </a:solidFill>
              </a:endParaRPr>
            </a:p>
          </xdr:txBody>
        </xdr:sp>
        <xdr:grpSp>
          <xdr:nvGrpSpPr>
            <xdr:cNvPr id="9" name="Gruppieren 8"/>
            <xdr:cNvGrpSpPr/>
          </xdr:nvGrpSpPr>
          <xdr:grpSpPr>
            <a:xfrm>
              <a:off x="0" y="166688"/>
              <a:ext cx="9132094" cy="11456177"/>
              <a:chOff x="0" y="166688"/>
              <a:chExt cx="9132094" cy="11456177"/>
            </a:xfrm>
          </xdr:grpSpPr>
          <xdr:cxnSp macro="">
            <xdr:nvCxnSpPr>
              <xdr:cNvPr id="10" name="Gewinkelte Verbindung 9"/>
              <xdr:cNvCxnSpPr>
                <a:stCxn id="49" idx="2"/>
                <a:endCxn id="8" idx="3"/>
              </xdr:cNvCxnSpPr>
            </xdr:nvCxnSpPr>
            <xdr:spPr>
              <a:xfrm rot="5400000">
                <a:off x="4375347" y="9392217"/>
                <a:ext cx="1274363" cy="1381119"/>
              </a:xfrm>
              <a:prstGeom prst="bentConnector2">
                <a:avLst/>
              </a:prstGeom>
              <a:ln w="19050">
                <a:solidFill>
                  <a:schemeClr val="tx1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1" name="Gruppieren 10"/>
              <xdr:cNvGrpSpPr/>
            </xdr:nvGrpSpPr>
            <xdr:grpSpPr>
              <a:xfrm>
                <a:off x="0" y="166688"/>
                <a:ext cx="9132094" cy="11456177"/>
                <a:chOff x="0" y="166688"/>
                <a:chExt cx="9132094" cy="11456177"/>
              </a:xfrm>
            </xdr:grpSpPr>
            <xdr:cxnSp macro="">
              <xdr:nvCxnSpPr>
                <xdr:cNvPr id="12" name="Gewinkelte Verbindung 11"/>
                <xdr:cNvCxnSpPr>
                  <a:stCxn id="61" idx="2"/>
                  <a:endCxn id="65" idx="0"/>
                </xdr:cNvCxnSpPr>
              </xdr:nvCxnSpPr>
              <xdr:spPr>
                <a:xfrm rot="5400000">
                  <a:off x="7853365" y="4777980"/>
                  <a:ext cx="1173954" cy="1428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Gewinkelte Verbindung 12"/>
                <xdr:cNvCxnSpPr>
                  <a:stCxn id="59" idx="2"/>
                  <a:endCxn id="64" idx="0"/>
                </xdr:cNvCxnSpPr>
              </xdr:nvCxnSpPr>
              <xdr:spPr>
                <a:xfrm rot="5400000">
                  <a:off x="6025755" y="4786313"/>
                  <a:ext cx="1176336" cy="12700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4" name="Rechteck 13"/>
                <xdr:cNvSpPr/>
              </xdr:nvSpPr>
              <xdr:spPr>
                <a:xfrm>
                  <a:off x="0" y="166688"/>
                  <a:ext cx="1583531" cy="79295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1" u="sng">
                      <a:solidFill>
                        <a:schemeClr val="tx1"/>
                      </a:solidFill>
                    </a:rPr>
                    <a:t>A) Metadaten erfassen: </a:t>
                  </a:r>
                </a:p>
                <a:p>
                  <a:pPr algn="l"/>
                  <a:r>
                    <a:rPr lang="de-CH" sz="1100">
                      <a:solidFill>
                        <a:schemeClr val="tx1"/>
                      </a:solidFill>
                    </a:rPr>
                    <a:t>A1)</a:t>
                  </a:r>
                  <a:r>
                    <a:rPr lang="de-CH" sz="1100" baseline="0">
                      <a:solidFill>
                        <a:schemeClr val="tx1"/>
                      </a:solidFill>
                    </a:rPr>
                    <a:t> </a:t>
                  </a:r>
                  <a:r>
                    <a:rPr lang="de-CH" sz="1100">
                      <a:solidFill>
                        <a:schemeClr val="tx1"/>
                      </a:solidFill>
                    </a:rPr>
                    <a:t>Ort der Immissionen</a:t>
                  </a:r>
                </a:p>
                <a:p>
                  <a:pPr algn="l"/>
                  <a:r>
                    <a:rPr lang="de-CH" sz="1100">
                      <a:solidFill>
                        <a:schemeClr val="tx1"/>
                      </a:solidFill>
                    </a:rPr>
                    <a:t>A2)</a:t>
                  </a:r>
                  <a:r>
                    <a:rPr lang="de-CH" sz="1100" baseline="0">
                      <a:solidFill>
                        <a:schemeClr val="tx1"/>
                      </a:solidFill>
                    </a:rPr>
                    <a:t> </a:t>
                  </a:r>
                  <a:r>
                    <a:rPr lang="de-CH" sz="1100">
                      <a:solidFill>
                        <a:schemeClr val="tx1"/>
                      </a:solidFill>
                    </a:rPr>
                    <a:t>Ort der Emissionen</a:t>
                  </a:r>
                </a:p>
                <a:p>
                  <a:pPr algn="l"/>
                  <a:r>
                    <a:rPr lang="de-CH" sz="1100" baseline="0">
                      <a:solidFill>
                        <a:schemeClr val="tx1"/>
                      </a:solidFill>
                    </a:rPr>
                    <a:t>A3) Messung</a:t>
                  </a:r>
                  <a:endParaRPr lang="de-CH" sz="1100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15" name="Rechteck 14"/>
                <xdr:cNvSpPr/>
              </xdr:nvSpPr>
              <xdr:spPr>
                <a:xfrm>
                  <a:off x="2155031" y="812005"/>
                  <a:ext cx="2607469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1" u="sng">
                      <a:solidFill>
                        <a:schemeClr val="tx1"/>
                      </a:solidFill>
                    </a:rPr>
                    <a:t>B) Messung 10-</a:t>
                  </a:r>
                  <a:r>
                    <a:rPr lang="de-CH" sz="1100" b="1" u="sng" baseline="0">
                      <a:solidFill>
                        <a:schemeClr val="tx1"/>
                      </a:solidFill>
                    </a:rPr>
                    <a:t> Sekunden -Leq:</a:t>
                  </a:r>
                </a:p>
                <a:p>
                  <a:pPr algn="l"/>
                  <a:r>
                    <a:rPr lang="de-CH" sz="1100" baseline="0">
                      <a:solidFill>
                        <a:schemeClr val="tx1"/>
                      </a:solidFill>
                    </a:rPr>
                    <a:t>Fünf Einzelmessungen A- und C-bewertet</a:t>
                  </a:r>
                  <a:endParaRPr lang="de-CH" sz="1100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16" name="Flussdiagramm: Verzweigung 15"/>
                <xdr:cNvSpPr/>
              </xdr:nvSpPr>
              <xdr:spPr>
                <a:xfrm>
                  <a:off x="59532" y="1709745"/>
                  <a:ext cx="3643313" cy="940594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r>
                    <a: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Differenz</a:t>
                  </a:r>
                  <a:endParaRPr lang="de-CH" sz="1100" b="0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  <a:p>
                  <a:pPr marL="0" indent="0" algn="ctr"/>
                  <a:r>
                    <a: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Max - Min &gt; 3dB</a:t>
                  </a:r>
                  <a:endParaRPr lang="de-CH" sz="1100" b="0" u="none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7" name="Gewinkelte Verbindung 16"/>
                <xdr:cNvCxnSpPr>
                  <a:stCxn id="14" idx="2"/>
                  <a:endCxn id="15" idx="1"/>
                </xdr:cNvCxnSpPr>
              </xdr:nvCxnSpPr>
              <xdr:spPr>
                <a:xfrm rot="16200000" flipH="1">
                  <a:off x="1420416" y="330994"/>
                  <a:ext cx="105964" cy="136326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" name="Gewinkelte Verbindung 17"/>
                <xdr:cNvCxnSpPr>
                  <a:stCxn id="15" idx="2"/>
                  <a:endCxn id="16" idx="0"/>
                </xdr:cNvCxnSpPr>
              </xdr:nvCxnSpPr>
              <xdr:spPr>
                <a:xfrm rot="5400000">
                  <a:off x="2472332" y="723309"/>
                  <a:ext cx="395294" cy="157757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9" name="Gewinkelte Verbindung 18"/>
                <xdr:cNvCxnSpPr>
                  <a:stCxn id="16" idx="3"/>
                  <a:endCxn id="20" idx="0"/>
                </xdr:cNvCxnSpPr>
              </xdr:nvCxnSpPr>
              <xdr:spPr>
                <a:xfrm>
                  <a:off x="3702845" y="2182424"/>
                  <a:ext cx="934640" cy="20121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0" name="Rechteck 19"/>
                <xdr:cNvSpPr/>
              </xdr:nvSpPr>
              <xdr:spPr>
                <a:xfrm>
                  <a:off x="3952876" y="2383639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Vier zusätzliche Messungen</a:t>
                  </a:r>
                </a:p>
              </xdr:txBody>
            </xdr:sp>
            <xdr:sp macro="" textlink="">
              <xdr:nvSpPr>
                <xdr:cNvPr id="21" name="Flussdiagramm: Verzweigung 20"/>
                <xdr:cNvSpPr/>
              </xdr:nvSpPr>
              <xdr:spPr>
                <a:xfrm>
                  <a:off x="47625" y="3926687"/>
                  <a:ext cx="3643313" cy="945356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r>
                    <a:rPr lang="de-CH" sz="1100" b="1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C) Messung Grundgeräuschpegel?</a:t>
                  </a:r>
                  <a:endParaRPr lang="de-CH" sz="1100" b="1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22" name="Gewinkelte Verbindung 21"/>
                <xdr:cNvCxnSpPr>
                  <a:stCxn id="20" idx="2"/>
                  <a:endCxn id="23" idx="3"/>
                </xdr:cNvCxnSpPr>
              </xdr:nvCxnSpPr>
              <xdr:spPr>
                <a:xfrm rot="5400000">
                  <a:off x="4141587" y="2828335"/>
                  <a:ext cx="438147" cy="553649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3" name="Rechteck 22"/>
                <xdr:cNvSpPr/>
              </xdr:nvSpPr>
              <xdr:spPr>
                <a:xfrm>
                  <a:off x="500055" y="3009906"/>
                  <a:ext cx="3583781" cy="633413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>
                      <a:solidFill>
                        <a:schemeClr val="tx1"/>
                      </a:solidFill>
                    </a:rPr>
                    <a:t>Rangieren</a:t>
                  </a:r>
                  <a:r>
                    <a:rPr lang="de-CH" sz="1100" b="0" baseline="0">
                      <a:solidFill>
                        <a:schemeClr val="tx1"/>
                      </a:solidFill>
                    </a:rPr>
                    <a:t> der Messwerte und  anhand der Rangierung bestimmen des Medians  der A-bewerteten  10-Sekunden-Leq als repräsentativer Schallpegel</a:t>
                  </a:r>
                  <a:endParaRPr lang="de-CH" sz="1100" b="0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24" name="Gewinkelte Verbindung 23"/>
                <xdr:cNvCxnSpPr>
                  <a:stCxn id="16" idx="2"/>
                  <a:endCxn id="23" idx="0"/>
                </xdr:cNvCxnSpPr>
              </xdr:nvCxnSpPr>
              <xdr:spPr>
                <a:xfrm rot="16200000" flipH="1">
                  <a:off x="1906783" y="2624744"/>
                  <a:ext cx="359567" cy="41075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" name="Gewinkelte Verbindung 24"/>
                <xdr:cNvCxnSpPr>
                  <a:stCxn id="23" idx="2"/>
                  <a:endCxn id="21" idx="0"/>
                </xdr:cNvCxnSpPr>
              </xdr:nvCxnSpPr>
              <xdr:spPr>
                <a:xfrm rot="5400000">
                  <a:off x="1938931" y="3573670"/>
                  <a:ext cx="283368" cy="42266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6" name="Textfeld 25"/>
                <xdr:cNvSpPr txBox="1"/>
              </xdr:nvSpPr>
              <xdr:spPr>
                <a:xfrm>
                  <a:off x="4048125" y="1952630"/>
                  <a:ext cx="297197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Ja</a:t>
                  </a:r>
                </a:p>
              </xdr:txBody>
            </xdr:sp>
            <xdr:sp macro="" textlink="">
              <xdr:nvSpPr>
                <xdr:cNvPr id="27" name="Textfeld 26"/>
                <xdr:cNvSpPr txBox="1"/>
              </xdr:nvSpPr>
              <xdr:spPr>
                <a:xfrm>
                  <a:off x="1366837" y="2659863"/>
                  <a:ext cx="45243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Nein</a:t>
                  </a:r>
                </a:p>
              </xdr:txBody>
            </xdr:sp>
            <xdr:sp macro="" textlink="">
              <xdr:nvSpPr>
                <xdr:cNvPr id="28" name="Rechteck 27"/>
                <xdr:cNvSpPr/>
              </xdr:nvSpPr>
              <xdr:spPr>
                <a:xfrm>
                  <a:off x="3726656" y="5138735"/>
                  <a:ext cx="1656000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Grundgeräusch  A-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und  C-bewertet messen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29" name="Rechteck 28"/>
                <xdr:cNvSpPr/>
              </xdr:nvSpPr>
              <xdr:spPr>
                <a:xfrm>
                  <a:off x="3738563" y="5853112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Gemessene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Pegelwerte in Tabelle C2 eintragen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30" name="Gewinkelte Verbindung 29"/>
                <xdr:cNvCxnSpPr>
                  <a:stCxn id="21" idx="3"/>
                  <a:endCxn id="28" idx="0"/>
                </xdr:cNvCxnSpPr>
              </xdr:nvCxnSpPr>
              <xdr:spPr>
                <a:xfrm>
                  <a:off x="3690938" y="4399365"/>
                  <a:ext cx="863718" cy="739370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" name="Gewinkelte Verbindung 30"/>
                <xdr:cNvCxnSpPr>
                  <a:stCxn id="28" idx="2"/>
                  <a:endCxn id="29" idx="0"/>
                </xdr:cNvCxnSpPr>
              </xdr:nvCxnSpPr>
              <xdr:spPr>
                <a:xfrm rot="16200000" flipH="1">
                  <a:off x="4462564" y="5749114"/>
                  <a:ext cx="196089" cy="1190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2" name="Textfeld 31"/>
                <xdr:cNvSpPr txBox="1"/>
              </xdr:nvSpPr>
              <xdr:spPr>
                <a:xfrm>
                  <a:off x="3902868" y="4131474"/>
                  <a:ext cx="297197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Ja</a:t>
                  </a:r>
                </a:p>
              </xdr:txBody>
            </xdr:sp>
            <xdr:sp macro="" textlink="">
              <xdr:nvSpPr>
                <xdr:cNvPr id="33" name="Rechteck 32"/>
                <xdr:cNvSpPr/>
              </xdr:nvSpPr>
              <xdr:spPr>
                <a:xfrm>
                  <a:off x="535783" y="5150650"/>
                  <a:ext cx="2667000" cy="52305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Hörbarkeit des Grundgeräusches gemäss Kriterien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von Tabelle  C1 bestimmen</a:t>
                  </a:r>
                  <a:r>
                    <a:rPr lang="de-CH" sz="1100" b="0" u="none">
                      <a:solidFill>
                        <a:schemeClr val="tx1"/>
                      </a:solidFill>
                    </a:rPr>
                    <a:t>  </a:t>
                  </a:r>
                </a:p>
              </xdr:txBody>
            </xdr:sp>
            <xdr:sp macro="" textlink="">
              <xdr:nvSpPr>
                <xdr:cNvPr id="34" name="Rechteck 33"/>
                <xdr:cNvSpPr/>
              </xdr:nvSpPr>
              <xdr:spPr>
                <a:xfrm>
                  <a:off x="1045370" y="5862638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Befund in Tabelle  C1 vermerken</a:t>
                  </a:r>
                </a:p>
              </xdr:txBody>
            </xdr:sp>
            <xdr:cxnSp macro="">
              <xdr:nvCxnSpPr>
                <xdr:cNvPr id="35" name="Gewinkelte Verbindung 34"/>
                <xdr:cNvCxnSpPr>
                  <a:stCxn id="21" idx="2"/>
                  <a:endCxn id="33" idx="0"/>
                </xdr:cNvCxnSpPr>
              </xdr:nvCxnSpPr>
              <xdr:spPr>
                <a:xfrm rot="16200000" flipH="1">
                  <a:off x="1729979" y="5011345"/>
                  <a:ext cx="278607" cy="1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Gewinkelte Verbindung 35"/>
                <xdr:cNvCxnSpPr>
                  <a:stCxn id="33" idx="2"/>
                  <a:endCxn id="34" idx="0"/>
                </xdr:cNvCxnSpPr>
              </xdr:nvCxnSpPr>
              <xdr:spPr>
                <a:xfrm rot="16200000" flipH="1">
                  <a:off x="1776858" y="5766124"/>
                  <a:ext cx="188938" cy="4087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7" name="Textfeld 36"/>
                <xdr:cNvSpPr txBox="1"/>
              </xdr:nvSpPr>
              <xdr:spPr>
                <a:xfrm>
                  <a:off x="1976438" y="4883951"/>
                  <a:ext cx="45243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Nein</a:t>
                  </a:r>
                </a:p>
              </xdr:txBody>
            </xdr:sp>
            <xdr:sp macro="" textlink="">
              <xdr:nvSpPr>
                <xdr:cNvPr id="38" name="Rechteck 37"/>
                <xdr:cNvSpPr/>
              </xdr:nvSpPr>
              <xdr:spPr>
                <a:xfrm>
                  <a:off x="1047748" y="6562736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G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aus Tabelle  C1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39" name="Rechteck 38"/>
                <xdr:cNvSpPr/>
              </xdr:nvSpPr>
              <xdr:spPr>
                <a:xfrm>
                  <a:off x="3736179" y="6548450"/>
                  <a:ext cx="1656000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G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aus Tabelle  C2</a:t>
                  </a:r>
                </a:p>
                <a:p>
                  <a:pPr algn="ctr"/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(Formel 1)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40" name="Gewinkelte Verbindung 39"/>
                <xdr:cNvCxnSpPr>
                  <a:stCxn id="29" idx="2"/>
                  <a:endCxn id="39" idx="0"/>
                </xdr:cNvCxnSpPr>
              </xdr:nvCxnSpPr>
              <xdr:spPr>
                <a:xfrm rot="5400000">
                  <a:off x="4476845" y="6458733"/>
                  <a:ext cx="177051" cy="238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1" name="Rechteck 40"/>
                <xdr:cNvSpPr/>
              </xdr:nvSpPr>
              <xdr:spPr>
                <a:xfrm>
                  <a:off x="250036" y="7908147"/>
                  <a:ext cx="2880000" cy="652462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l-GR" sz="1100" b="0" i="1" u="none" baseline="0">
                      <a:solidFill>
                        <a:schemeClr val="tx1"/>
                      </a:solidFill>
                    </a:rPr>
                    <a:t>Δ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L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 "ohne Grundgeräusch" </a:t>
                  </a:r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aus Tabelle  B:</a:t>
                  </a:r>
                </a:p>
                <a:p>
                  <a:pPr algn="ctr"/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Delta beim repräsentativen Schallpegel</a:t>
                  </a:r>
                </a:p>
                <a:p>
                  <a:pPr algn="ctr"/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(Formel 2)</a:t>
                  </a:r>
                  <a:endParaRPr lang="de-CH" sz="1100" b="0" i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42" name="Gewinkelte Verbindung 41"/>
                <xdr:cNvCxnSpPr>
                  <a:stCxn id="38" idx="2"/>
                  <a:endCxn id="41" idx="0"/>
                </xdr:cNvCxnSpPr>
              </xdr:nvCxnSpPr>
              <xdr:spPr>
                <a:xfrm rot="5400000">
                  <a:off x="1369331" y="7401728"/>
                  <a:ext cx="827124" cy="185712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3" name="Gewinkelte Verbindung 42"/>
                <xdr:cNvCxnSpPr>
                  <a:stCxn id="39" idx="2"/>
                  <a:endCxn id="45" idx="0"/>
                </xdr:cNvCxnSpPr>
              </xdr:nvCxnSpPr>
              <xdr:spPr>
                <a:xfrm rot="16200000" flipH="1">
                  <a:off x="4247070" y="7383846"/>
                  <a:ext cx="843791" cy="20957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4" name="Rechteck 43"/>
                <xdr:cNvSpPr/>
              </xdr:nvSpPr>
              <xdr:spPr>
                <a:xfrm>
                  <a:off x="1021558" y="7198531"/>
                  <a:ext cx="436006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C3) Korrektur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für tieffrequente Geräusche</a:t>
                  </a:r>
                </a:p>
                <a:p>
                  <a:pPr algn="ctr"/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(Formeln 2 und 3)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45" name="Rechteck 44"/>
                <xdr:cNvSpPr/>
              </xdr:nvSpPr>
              <xdr:spPr>
                <a:xfrm>
                  <a:off x="3333753" y="7910528"/>
                  <a:ext cx="2880000" cy="652462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l-GR" sz="1100" b="0" i="1" u="none" baseline="0">
                      <a:solidFill>
                        <a:schemeClr val="tx1"/>
                      </a:solidFill>
                    </a:rPr>
                    <a:t>Δ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L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 "mit Grundgeräusch" </a:t>
                  </a:r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berechnen  mit Formel 3 unter Berücksichtigung der C- und </a:t>
                  </a:r>
                  <a:r>
                    <a:rPr lang="de-CH" sz="1050" b="0" i="0" u="none" baseline="0">
                      <a:solidFill>
                        <a:schemeClr val="tx1"/>
                      </a:solidFill>
                    </a:rPr>
                    <a:t>A-bewerteten Grundgeräuschpegel  aus Tabelle </a:t>
                  </a:r>
                  <a:r>
                    <a:rPr lang="de-CH" sz="1100" b="0" i="0" u="none" baseline="0">
                      <a:solidFill>
                        <a:schemeClr val="tx1"/>
                      </a:solidFill>
                    </a:rPr>
                    <a:t>C2 </a:t>
                  </a:r>
                  <a:endParaRPr lang="de-CH" sz="1100" b="0" i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46" name="Flussdiagramm: Verzweigung 45"/>
                <xdr:cNvSpPr/>
              </xdr:nvSpPr>
              <xdr:spPr>
                <a:xfrm>
                  <a:off x="2190751" y="8903496"/>
                  <a:ext cx="2095501" cy="573879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r>
                    <a:rPr lang="el-GR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Δ</a:t>
                  </a:r>
                  <a:r>
                    <a:rPr lang="de-CH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L</a:t>
                  </a:r>
                  <a:r>
                    <a:rPr lang="de-CH" sz="1100" b="0" i="1" baseline="-25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C-A</a:t>
                  </a:r>
                  <a:r>
                    <a:rPr lang="de-CH" sz="1100" b="0" i="1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 </a:t>
                  </a:r>
                  <a:r>
                    <a:rPr lang="de-CH" sz="1100" b="0" i="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≤ 12 dB?</a:t>
                  </a:r>
                  <a:endParaRPr lang="de-CH" sz="1100" b="1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47" name="Gewinkelte Verbindung 46"/>
                <xdr:cNvCxnSpPr>
                  <a:stCxn id="45" idx="2"/>
                  <a:endCxn id="46" idx="0"/>
                </xdr:cNvCxnSpPr>
              </xdr:nvCxnSpPr>
              <xdr:spPr>
                <a:xfrm rot="5400000">
                  <a:off x="3835876" y="7965617"/>
                  <a:ext cx="340506" cy="1535251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8" name="Gewinkelte Verbindung 47"/>
                <xdr:cNvCxnSpPr>
                  <a:stCxn id="41" idx="2"/>
                  <a:endCxn id="46" idx="0"/>
                </xdr:cNvCxnSpPr>
              </xdr:nvCxnSpPr>
              <xdr:spPr>
                <a:xfrm rot="16200000" flipH="1">
                  <a:off x="2292825" y="7957820"/>
                  <a:ext cx="342887" cy="1548466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9" name="Rechteck 48"/>
                <xdr:cNvSpPr/>
              </xdr:nvSpPr>
              <xdr:spPr>
                <a:xfrm>
                  <a:off x="5191118" y="8927308"/>
                  <a:ext cx="102393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3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50" name="Rechteck 49"/>
                <xdr:cNvSpPr/>
              </xdr:nvSpPr>
              <xdr:spPr>
                <a:xfrm>
                  <a:off x="247656" y="8936832"/>
                  <a:ext cx="1023938" cy="518287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c-A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0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51" name="Gewinkelte Verbindung 50"/>
                <xdr:cNvCxnSpPr>
                  <a:stCxn id="46" idx="1"/>
                  <a:endCxn id="50" idx="3"/>
                </xdr:cNvCxnSpPr>
              </xdr:nvCxnSpPr>
              <xdr:spPr>
                <a:xfrm rot="10800000" flipV="1">
                  <a:off x="1271595" y="9192817"/>
                  <a:ext cx="919157" cy="5540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" name="Gewinkelte Verbindung 51"/>
                <xdr:cNvCxnSpPr>
                  <a:stCxn id="46" idx="3"/>
                  <a:endCxn id="49" idx="1"/>
                </xdr:cNvCxnSpPr>
              </xdr:nvCxnSpPr>
              <xdr:spPr>
                <a:xfrm flipV="1">
                  <a:off x="4286252" y="9188833"/>
                  <a:ext cx="904866" cy="3984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3" name="Rechteck 52"/>
                <xdr:cNvSpPr/>
              </xdr:nvSpPr>
              <xdr:spPr>
                <a:xfrm>
                  <a:off x="261938" y="11196621"/>
                  <a:ext cx="5929313" cy="426244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E) Beurteilung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: Prüfen, ob Richtwerte eingehalten sind oder nicht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cxnSp macro="">
              <xdr:nvCxnSpPr>
                <xdr:cNvPr id="54" name="Gewinkelte Verbindung 53"/>
                <xdr:cNvCxnSpPr>
                  <a:stCxn id="50" idx="2"/>
                  <a:endCxn id="8" idx="1"/>
                </xdr:cNvCxnSpPr>
              </xdr:nvCxnSpPr>
              <xdr:spPr>
                <a:xfrm rot="16200000" flipH="1">
                  <a:off x="813003" y="9401740"/>
                  <a:ext cx="1264839" cy="137159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5" name="Textfeld 54"/>
                <xdr:cNvSpPr txBox="1"/>
              </xdr:nvSpPr>
              <xdr:spPr>
                <a:xfrm>
                  <a:off x="1840705" y="8922550"/>
                  <a:ext cx="297197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Ja</a:t>
                  </a:r>
                </a:p>
              </xdr:txBody>
            </xdr:sp>
            <xdr:sp macro="" textlink="">
              <xdr:nvSpPr>
                <xdr:cNvPr id="56" name="Textfeld 55"/>
                <xdr:cNvSpPr txBox="1"/>
              </xdr:nvSpPr>
              <xdr:spPr>
                <a:xfrm>
                  <a:off x="4286251" y="8903495"/>
                  <a:ext cx="45243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Nein</a:t>
                  </a:r>
                </a:p>
              </xdr:txBody>
            </xdr:sp>
            <xdr:sp macro="" textlink="">
              <xdr:nvSpPr>
                <xdr:cNvPr id="57" name="Flussdiagramm: Verzweigung 56"/>
                <xdr:cNvSpPr/>
              </xdr:nvSpPr>
              <xdr:spPr>
                <a:xfrm>
                  <a:off x="6036470" y="1035845"/>
                  <a:ext cx="2964656" cy="940594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r>
                    <a: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Betriebsbewilligung</a:t>
                  </a:r>
                  <a:r>
                    <a: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 </a:t>
                  </a:r>
                  <a:r>
                    <a: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vor</a:t>
                  </a:r>
                  <a:r>
                    <a: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rPr>
                    <a:t> 1. Januar 1985?</a:t>
                  </a:r>
                  <a:endParaRPr lang="de-CH" sz="1100" b="0" u="none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58" name="Gewinkelte Verbindung 57"/>
                <xdr:cNvCxnSpPr>
                  <a:stCxn id="14" idx="3"/>
                  <a:endCxn id="57" idx="0"/>
                </xdr:cNvCxnSpPr>
              </xdr:nvCxnSpPr>
              <xdr:spPr>
                <a:xfrm>
                  <a:off x="1583531" y="563167"/>
                  <a:ext cx="5935267" cy="472678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9" name="Rechteck 58"/>
                <xdr:cNvSpPr/>
              </xdr:nvSpPr>
              <xdr:spPr>
                <a:xfrm>
                  <a:off x="5929313" y="3695700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Bestehende Anlage</a:t>
                  </a:r>
                </a:p>
              </xdr:txBody>
            </xdr:sp>
            <xdr:cxnSp macro="">
              <xdr:nvCxnSpPr>
                <xdr:cNvPr id="60" name="Gewinkelte Verbindung 59"/>
                <xdr:cNvCxnSpPr>
                  <a:stCxn id="57" idx="1"/>
                  <a:endCxn id="59" idx="0"/>
                </xdr:cNvCxnSpPr>
              </xdr:nvCxnSpPr>
              <xdr:spPr>
                <a:xfrm rot="10800000" flipH="1" flipV="1">
                  <a:off x="6036470" y="1508524"/>
                  <a:ext cx="577452" cy="2187176"/>
                </a:xfrm>
                <a:prstGeom prst="bentConnector4">
                  <a:avLst>
                    <a:gd name="adj1" fmla="val -39588"/>
                    <a:gd name="adj2" fmla="val 60784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1" name="Rechteck 60"/>
                <xdr:cNvSpPr/>
              </xdr:nvSpPr>
              <xdr:spPr>
                <a:xfrm>
                  <a:off x="7762875" y="3695701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Neuanlage</a:t>
                  </a:r>
                </a:p>
              </xdr:txBody>
            </xdr:sp>
            <xdr:cxnSp macro="">
              <xdr:nvCxnSpPr>
                <xdr:cNvPr id="62" name="Gewinkelte Verbindung 61"/>
                <xdr:cNvCxnSpPr>
                  <a:stCxn id="57" idx="3"/>
                  <a:endCxn id="61" idx="0"/>
                </xdr:cNvCxnSpPr>
              </xdr:nvCxnSpPr>
              <xdr:spPr>
                <a:xfrm flipH="1">
                  <a:off x="8447484" y="1508524"/>
                  <a:ext cx="553642" cy="2187177"/>
                </a:xfrm>
                <a:prstGeom prst="bentConnector4">
                  <a:avLst>
                    <a:gd name="adj1" fmla="val -41290"/>
                    <a:gd name="adj2" fmla="val 60784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3" name="Rechteck 62"/>
                <xdr:cNvSpPr/>
              </xdr:nvSpPr>
              <xdr:spPr>
                <a:xfrm>
                  <a:off x="5929312" y="4488657"/>
                  <a:ext cx="3202782" cy="52305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Richtwerte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gemäss Tabelle 1 und 2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64" name="Rechteck 63"/>
                <xdr:cNvSpPr/>
              </xdr:nvSpPr>
              <xdr:spPr>
                <a:xfrm>
                  <a:off x="5929313" y="5374482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Richtwerte für bestehende Anlage</a:t>
                  </a:r>
                </a:p>
              </xdr:txBody>
            </xdr:sp>
            <xdr:sp macro="" textlink="">
              <xdr:nvSpPr>
                <xdr:cNvPr id="65" name="Rechteck 64"/>
                <xdr:cNvSpPr/>
              </xdr:nvSpPr>
              <xdr:spPr>
                <a:xfrm>
                  <a:off x="7748588" y="5372101"/>
                  <a:ext cx="1369218" cy="502446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u="none">
                      <a:solidFill>
                        <a:schemeClr val="tx1"/>
                      </a:solidFill>
                    </a:rPr>
                    <a:t>Richtwerte für Neuanlage</a:t>
                  </a:r>
                </a:p>
              </xdr:txBody>
            </xdr:sp>
            <xdr:cxnSp macro="">
              <xdr:nvCxnSpPr>
                <xdr:cNvPr id="66" name="Gewinkelte Verbindung 65"/>
                <xdr:cNvCxnSpPr>
                  <a:stCxn id="64" idx="2"/>
                  <a:endCxn id="53" idx="3"/>
                </xdr:cNvCxnSpPr>
              </xdr:nvCxnSpPr>
              <xdr:spPr>
                <a:xfrm rot="5400000">
                  <a:off x="3636180" y="8432000"/>
                  <a:ext cx="5532815" cy="422671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7" name="Gewinkelte Verbindung 66"/>
                <xdr:cNvCxnSpPr>
                  <a:stCxn id="65" idx="2"/>
                  <a:endCxn id="53" idx="3"/>
                </xdr:cNvCxnSpPr>
              </xdr:nvCxnSpPr>
              <xdr:spPr>
                <a:xfrm rot="5400000">
                  <a:off x="4544626" y="7521172"/>
                  <a:ext cx="5535196" cy="2241946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8" name="Flussdiagramm: Verzweigung 67"/>
                <xdr:cNvSpPr/>
              </xdr:nvSpPr>
              <xdr:spPr>
                <a:xfrm>
                  <a:off x="2190751" y="9510715"/>
                  <a:ext cx="2095501" cy="923923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ctr"/>
                  <a:r>
                    <a:rPr lang="de-CH" sz="1100" b="0" i="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Ton, Rhythmus, Stimmen hörbar?</a:t>
                  </a:r>
                  <a:endParaRPr lang="de-CH" sz="1100" b="1" i="0" u="non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69" name="Rechteck 68"/>
                <xdr:cNvSpPr/>
              </xdr:nvSpPr>
              <xdr:spPr>
                <a:xfrm>
                  <a:off x="4512463" y="9717883"/>
                  <a:ext cx="1023938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H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0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70" name="Rechteck 69"/>
                <xdr:cNvSpPr/>
              </xdr:nvSpPr>
              <xdr:spPr>
                <a:xfrm>
                  <a:off x="902500" y="9715501"/>
                  <a:ext cx="1023938" cy="518288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de-CH" sz="1100" b="0" i="1" u="none" baseline="0">
                      <a:solidFill>
                        <a:schemeClr val="tx1"/>
                      </a:solidFill>
                    </a:rPr>
                    <a:t>K</a:t>
                  </a:r>
                  <a:r>
                    <a:rPr lang="de-CH" sz="1100" b="0" i="1" u="none" baseline="-25000">
                      <a:solidFill>
                        <a:schemeClr val="tx1"/>
                      </a:solidFill>
                    </a:rPr>
                    <a:t>H</a:t>
                  </a:r>
                  <a:r>
                    <a:rPr lang="de-CH" sz="1100" b="0" u="none" baseline="0">
                      <a:solidFill>
                        <a:schemeClr val="tx1"/>
                      </a:solidFill>
                    </a:rPr>
                    <a:t> = 2, 4, 6 dB</a:t>
                  </a:r>
                  <a:endParaRPr lang="de-CH" sz="1100" b="0" u="none">
                    <a:solidFill>
                      <a:schemeClr val="tx1"/>
                    </a:solidFill>
                  </a:endParaRPr>
                </a:p>
              </xdr:txBody>
            </xdr:sp>
            <xdr:sp macro="" textlink="">
              <xdr:nvSpPr>
                <xdr:cNvPr id="71" name="Textfeld 70"/>
                <xdr:cNvSpPr txBox="1"/>
              </xdr:nvSpPr>
              <xdr:spPr>
                <a:xfrm>
                  <a:off x="1971674" y="9677408"/>
                  <a:ext cx="297197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Ja</a:t>
                  </a:r>
                </a:p>
              </xdr:txBody>
            </xdr:sp>
            <xdr:sp macro="" textlink="">
              <xdr:nvSpPr>
                <xdr:cNvPr id="72" name="Textfeld 71"/>
                <xdr:cNvSpPr txBox="1"/>
              </xdr:nvSpPr>
              <xdr:spPr>
                <a:xfrm>
                  <a:off x="4071938" y="9629777"/>
                  <a:ext cx="452432" cy="26456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de-CH" sz="1100"/>
                    <a:t>Nein</a:t>
                  </a:r>
                </a:p>
              </xdr:txBody>
            </xdr:sp>
            <xdr:cxnSp macro="">
              <xdr:nvCxnSpPr>
                <xdr:cNvPr id="73" name="Gewinkelte Verbindung 72"/>
                <xdr:cNvCxnSpPr>
                  <a:stCxn id="69" idx="2"/>
                  <a:endCxn id="8" idx="3"/>
                </xdr:cNvCxnSpPr>
              </xdr:nvCxnSpPr>
              <xdr:spPr>
                <a:xfrm rot="5400000">
                  <a:off x="4431306" y="10126833"/>
                  <a:ext cx="483787" cy="702464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Gewinkelte Verbindung 73"/>
                <xdr:cNvCxnSpPr>
                  <a:stCxn id="70" idx="2"/>
                  <a:endCxn id="8" idx="1"/>
                </xdr:cNvCxnSpPr>
              </xdr:nvCxnSpPr>
              <xdr:spPr>
                <a:xfrm rot="16200000" flipH="1">
                  <a:off x="1529759" y="10118498"/>
                  <a:ext cx="486169" cy="716751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5" name="Gewinkelte Verbindung 74"/>
                <xdr:cNvCxnSpPr>
                  <a:stCxn id="34" idx="2"/>
                  <a:endCxn id="38" idx="0"/>
                </xdr:cNvCxnSpPr>
              </xdr:nvCxnSpPr>
              <xdr:spPr>
                <a:xfrm rot="16200000" flipH="1">
                  <a:off x="1783654" y="6470641"/>
                  <a:ext cx="181811" cy="2378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Gewinkelte Verbindung 75"/>
                <xdr:cNvCxnSpPr>
                  <a:stCxn id="68" idx="1"/>
                  <a:endCxn id="70" idx="3"/>
                </xdr:cNvCxnSpPr>
              </xdr:nvCxnSpPr>
              <xdr:spPr>
                <a:xfrm rot="10800000" flipV="1">
                  <a:off x="1926439" y="9972677"/>
                  <a:ext cx="264313" cy="1968"/>
                </a:xfrm>
                <a:prstGeom prst="bentConnector3">
                  <a:avLst>
                    <a:gd name="adj1" fmla="val 50000"/>
                  </a:avLst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6" name="Textfeld 5"/>
          <xdr:cNvSpPr txBox="1"/>
        </xdr:nvSpPr>
        <xdr:spPr>
          <a:xfrm>
            <a:off x="5857875" y="1833563"/>
            <a:ext cx="29719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Ja</a:t>
            </a:r>
          </a:p>
        </xdr:txBody>
      </xdr:sp>
      <xdr:sp macro="" textlink="">
        <xdr:nvSpPr>
          <xdr:cNvPr id="7" name="Textfeld 6"/>
          <xdr:cNvSpPr txBox="1"/>
        </xdr:nvSpPr>
        <xdr:spPr>
          <a:xfrm>
            <a:off x="8763000" y="1869282"/>
            <a:ext cx="45243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/>
              <a:t>Nein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opLeftCell="A25" zoomScale="80" zoomScaleNormal="80" workbookViewId="0">
      <selection activeCell="N15" sqref="N15"/>
    </sheetView>
  </sheetViews>
  <sheetFormatPr baseColWidth="10" defaultRowHeight="12.75" x14ac:dyDescent="0.2"/>
  <sheetData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5" orientation="portrait" r:id="rId1"/>
  <headerFooter>
    <oddHeader>&amp;LCercle Bruit</oddHeader>
    <oddFooter>&amp;L&amp;F / &amp;A&amp;RSeite &amp;P von&amp;N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V47"/>
  <sheetViews>
    <sheetView showGridLines="0" zoomScale="70" zoomScaleNormal="70" workbookViewId="0">
      <selection activeCell="F6" sqref="F6"/>
    </sheetView>
  </sheetViews>
  <sheetFormatPr baseColWidth="10" defaultRowHeight="30" customHeight="1" x14ac:dyDescent="0.2"/>
  <cols>
    <col min="1" max="1" width="2.7109375" style="1" customWidth="1"/>
    <col min="2" max="6" width="12.7109375" style="1" customWidth="1"/>
    <col min="7" max="8" width="2.7109375" style="1" customWidth="1"/>
    <col min="9" max="13" width="12.7109375" style="1" customWidth="1"/>
    <col min="14" max="15" width="2.7109375" style="1" customWidth="1"/>
    <col min="16" max="24" width="11.7109375" style="1" customWidth="1"/>
    <col min="25" max="16384" width="11.42578125" style="1"/>
  </cols>
  <sheetData>
    <row r="1" spans="1:22" ht="30" customHeight="1" x14ac:dyDescent="0.2">
      <c r="A1" s="142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P1" s="141" t="s">
        <v>85</v>
      </c>
      <c r="Q1" s="141"/>
      <c r="R1" s="141"/>
      <c r="S1" s="141"/>
      <c r="T1" s="141"/>
      <c r="U1" s="141"/>
      <c r="V1" s="141"/>
    </row>
    <row r="2" spans="1:22" ht="30" customHeight="1" x14ac:dyDescent="0.2">
      <c r="A2" s="145" t="s">
        <v>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22" ht="30" customHeight="1" thickBot="1" x14ac:dyDescent="0.3">
      <c r="A3" s="107"/>
      <c r="B3" s="108" t="s">
        <v>55</v>
      </c>
      <c r="C3" s="109"/>
      <c r="D3" s="109"/>
      <c r="E3" s="109"/>
      <c r="F3" s="109"/>
      <c r="G3" s="109"/>
      <c r="H3" s="109"/>
      <c r="I3" s="108" t="s">
        <v>57</v>
      </c>
      <c r="J3" s="109"/>
      <c r="K3" s="109"/>
      <c r="L3" s="110" t="s">
        <v>78</v>
      </c>
      <c r="M3" s="133"/>
      <c r="N3" s="111"/>
      <c r="P3" s="2" t="s">
        <v>53</v>
      </c>
    </row>
    <row r="4" spans="1:22" ht="30" customHeight="1" x14ac:dyDescent="0.25">
      <c r="A4" s="112"/>
      <c r="B4" s="113" t="s">
        <v>22</v>
      </c>
      <c r="C4" s="135"/>
      <c r="D4" s="135"/>
      <c r="E4" s="135"/>
      <c r="F4" s="135"/>
      <c r="G4" s="114"/>
      <c r="H4" s="114"/>
      <c r="I4" s="114" t="s">
        <v>26</v>
      </c>
      <c r="J4" s="148"/>
      <c r="K4" s="148"/>
      <c r="L4" s="115" t="s">
        <v>79</v>
      </c>
      <c r="M4" s="133"/>
      <c r="N4" s="116"/>
      <c r="P4" s="136" t="s">
        <v>10</v>
      </c>
      <c r="Q4" s="138" t="s">
        <v>11</v>
      </c>
      <c r="R4" s="139"/>
      <c r="S4" s="140"/>
      <c r="T4" s="138" t="s">
        <v>12</v>
      </c>
      <c r="U4" s="139"/>
      <c r="V4" s="140"/>
    </row>
    <row r="5" spans="1:22" ht="30" customHeight="1" thickBot="1" x14ac:dyDescent="0.3">
      <c r="A5" s="112"/>
      <c r="B5" s="113" t="s">
        <v>23</v>
      </c>
      <c r="C5" s="134"/>
      <c r="D5" s="134"/>
      <c r="E5" s="134"/>
      <c r="F5" s="134"/>
      <c r="G5" s="114"/>
      <c r="H5" s="114"/>
      <c r="I5" s="117"/>
      <c r="J5" s="117"/>
      <c r="K5" s="117"/>
      <c r="L5" s="117"/>
      <c r="M5" s="117"/>
      <c r="N5" s="116"/>
      <c r="P5" s="137"/>
      <c r="Q5" s="7" t="s">
        <v>3</v>
      </c>
      <c r="R5" s="5" t="s">
        <v>4</v>
      </c>
      <c r="S5" s="6" t="s">
        <v>5</v>
      </c>
      <c r="T5" s="7" t="s">
        <v>3</v>
      </c>
      <c r="U5" s="5" t="s">
        <v>4</v>
      </c>
      <c r="V5" s="6" t="s">
        <v>5</v>
      </c>
    </row>
    <row r="6" spans="1:22" ht="30" customHeight="1" x14ac:dyDescent="0.25">
      <c r="A6" s="112"/>
      <c r="B6" s="113" t="s">
        <v>24</v>
      </c>
      <c r="C6" s="130"/>
      <c r="D6" s="118"/>
      <c r="E6" s="119" t="s">
        <v>27</v>
      </c>
      <c r="F6" s="130"/>
      <c r="G6" s="114"/>
      <c r="H6" s="114"/>
      <c r="I6" s="120" t="s">
        <v>83</v>
      </c>
      <c r="J6" s="135"/>
      <c r="K6" s="135"/>
      <c r="L6" s="135"/>
      <c r="M6" s="135"/>
      <c r="N6" s="116"/>
      <c r="P6" s="24" t="s">
        <v>6</v>
      </c>
      <c r="Q6" s="25">
        <v>30</v>
      </c>
      <c r="R6" s="26">
        <v>25</v>
      </c>
      <c r="S6" s="27">
        <v>20</v>
      </c>
      <c r="T6" s="25">
        <v>35</v>
      </c>
      <c r="U6" s="26">
        <v>30</v>
      </c>
      <c r="V6" s="27">
        <v>25</v>
      </c>
    </row>
    <row r="7" spans="1:22" ht="30" customHeight="1" x14ac:dyDescent="0.25">
      <c r="A7" s="112"/>
      <c r="B7" s="121"/>
      <c r="C7" s="121"/>
      <c r="D7" s="121"/>
      <c r="E7" s="113" t="s">
        <v>25</v>
      </c>
      <c r="F7" s="131"/>
      <c r="G7" s="114"/>
      <c r="H7" s="114"/>
      <c r="I7" s="120" t="s">
        <v>36</v>
      </c>
      <c r="J7" s="135"/>
      <c r="K7" s="135"/>
      <c r="L7" s="135"/>
      <c r="M7" s="135"/>
      <c r="N7" s="116"/>
      <c r="P7" s="28" t="s">
        <v>7</v>
      </c>
      <c r="Q7" s="29">
        <v>35</v>
      </c>
      <c r="R7" s="17">
        <v>30</v>
      </c>
      <c r="S7" s="30">
        <v>25</v>
      </c>
      <c r="T7" s="29">
        <v>40</v>
      </c>
      <c r="U7" s="17">
        <v>35</v>
      </c>
      <c r="V7" s="30">
        <v>30</v>
      </c>
    </row>
    <row r="8" spans="1:22" ht="30" customHeight="1" x14ac:dyDescent="0.25">
      <c r="A8" s="112"/>
      <c r="B8" s="122" t="s">
        <v>56</v>
      </c>
      <c r="C8" s="121"/>
      <c r="D8" s="121"/>
      <c r="E8" s="121"/>
      <c r="F8" s="123"/>
      <c r="G8" s="114"/>
      <c r="H8" s="114"/>
      <c r="I8" s="124" t="s">
        <v>38</v>
      </c>
      <c r="J8" s="135"/>
      <c r="K8" s="135"/>
      <c r="L8" s="135"/>
      <c r="M8" s="135"/>
      <c r="N8" s="116"/>
      <c r="P8" s="28" t="s">
        <v>8</v>
      </c>
      <c r="Q8" s="29">
        <v>40</v>
      </c>
      <c r="R8" s="17">
        <v>35</v>
      </c>
      <c r="S8" s="30">
        <v>30</v>
      </c>
      <c r="T8" s="29">
        <v>45</v>
      </c>
      <c r="U8" s="17">
        <v>40</v>
      </c>
      <c r="V8" s="30">
        <v>35</v>
      </c>
    </row>
    <row r="9" spans="1:22" ht="30" customHeight="1" thickBot="1" x14ac:dyDescent="0.3">
      <c r="A9" s="112"/>
      <c r="B9" s="124" t="s">
        <v>37</v>
      </c>
      <c r="C9" s="135"/>
      <c r="D9" s="135"/>
      <c r="E9" s="135"/>
      <c r="F9" s="135"/>
      <c r="G9" s="114"/>
      <c r="H9" s="114"/>
      <c r="I9" s="163" t="s">
        <v>39</v>
      </c>
      <c r="J9" s="134"/>
      <c r="K9" s="134"/>
      <c r="L9" s="134"/>
      <c r="M9" s="134"/>
      <c r="N9" s="116"/>
      <c r="P9" s="31" t="s">
        <v>9</v>
      </c>
      <c r="Q9" s="32">
        <v>45</v>
      </c>
      <c r="R9" s="33">
        <v>40</v>
      </c>
      <c r="S9" s="34">
        <v>35</v>
      </c>
      <c r="T9" s="32">
        <v>50</v>
      </c>
      <c r="U9" s="33">
        <v>45</v>
      </c>
      <c r="V9" s="34">
        <v>40</v>
      </c>
    </row>
    <row r="10" spans="1:22" ht="30" customHeight="1" x14ac:dyDescent="0.25">
      <c r="A10" s="112"/>
      <c r="B10" s="113" t="s">
        <v>35</v>
      </c>
      <c r="C10" s="130"/>
      <c r="D10" s="121"/>
      <c r="E10" s="113" t="s">
        <v>32</v>
      </c>
      <c r="F10" s="132"/>
      <c r="G10" s="125"/>
      <c r="H10" s="114"/>
      <c r="I10" s="163"/>
      <c r="J10" s="134"/>
      <c r="K10" s="134"/>
      <c r="L10" s="134"/>
      <c r="M10" s="134"/>
      <c r="N10" s="116"/>
    </row>
    <row r="11" spans="1:22" ht="5.0999999999999996" customHeight="1" x14ac:dyDescent="0.2">
      <c r="A11" s="126"/>
      <c r="B11" s="127"/>
      <c r="C11" s="127"/>
      <c r="D11" s="127"/>
      <c r="E11" s="127"/>
      <c r="F11" s="127"/>
      <c r="G11" s="127"/>
      <c r="H11" s="127"/>
      <c r="I11" s="128"/>
      <c r="J11" s="127"/>
      <c r="K11" s="127"/>
      <c r="L11" s="127"/>
      <c r="M11" s="127"/>
      <c r="N11" s="129"/>
    </row>
    <row r="12" spans="1:22" ht="35.1" customHeight="1" x14ac:dyDescent="0.2">
      <c r="A12" s="157" t="s">
        <v>2</v>
      </c>
      <c r="B12" s="158"/>
      <c r="C12" s="158"/>
      <c r="D12" s="158"/>
      <c r="E12" s="158"/>
      <c r="F12" s="158"/>
      <c r="G12" s="159"/>
      <c r="H12" s="160" t="s">
        <v>82</v>
      </c>
      <c r="I12" s="161"/>
      <c r="J12" s="161"/>
      <c r="K12" s="161"/>
      <c r="L12" s="161"/>
      <c r="M12" s="161"/>
      <c r="N12" s="162"/>
    </row>
    <row r="13" spans="1:22" ht="30" customHeight="1" thickBot="1" x14ac:dyDescent="0.25">
      <c r="A13" s="47"/>
      <c r="B13" s="150" t="s">
        <v>58</v>
      </c>
      <c r="C13" s="150"/>
      <c r="D13" s="150"/>
      <c r="E13" s="150"/>
      <c r="F13" s="150"/>
      <c r="G13" s="49"/>
      <c r="H13" s="15"/>
      <c r="I13" s="154" t="str">
        <f>B13</f>
        <v>B) Messung 10-Sekunden-Leq</v>
      </c>
      <c r="J13" s="154"/>
      <c r="K13" s="154"/>
      <c r="L13" s="154"/>
      <c r="M13" s="154"/>
      <c r="N13" s="13"/>
      <c r="P13" s="2" t="s">
        <v>54</v>
      </c>
    </row>
    <row r="14" spans="1:22" ht="30" customHeight="1" x14ac:dyDescent="0.2">
      <c r="A14" s="47"/>
      <c r="B14" s="3" t="s">
        <v>0</v>
      </c>
      <c r="C14" s="4" t="s">
        <v>45</v>
      </c>
      <c r="D14" s="4" t="s">
        <v>44</v>
      </c>
      <c r="E14" s="4" t="s">
        <v>43</v>
      </c>
      <c r="F14" s="3" t="s">
        <v>1</v>
      </c>
      <c r="G14" s="49"/>
      <c r="H14" s="15"/>
      <c r="I14" s="3" t="s">
        <v>0</v>
      </c>
      <c r="J14" s="4" t="s">
        <v>45</v>
      </c>
      <c r="K14" s="4" t="s">
        <v>44</v>
      </c>
      <c r="L14" s="4" t="s">
        <v>43</v>
      </c>
      <c r="M14" s="3" t="s">
        <v>1</v>
      </c>
      <c r="N14" s="13"/>
      <c r="P14" s="136" t="s">
        <v>10</v>
      </c>
      <c r="Q14" s="138" t="s">
        <v>11</v>
      </c>
      <c r="R14" s="139"/>
      <c r="S14" s="140"/>
      <c r="T14" s="138" t="s">
        <v>12</v>
      </c>
      <c r="U14" s="139"/>
      <c r="V14" s="140"/>
    </row>
    <row r="15" spans="1:22" ht="30" customHeight="1" thickBot="1" x14ac:dyDescent="0.25">
      <c r="A15" s="47"/>
      <c r="B15" s="59"/>
      <c r="C15" s="60"/>
      <c r="D15" s="60"/>
      <c r="E15" s="99" t="str">
        <f>IF(OR(C15="",D15=""),"",D15-C15)</f>
        <v/>
      </c>
      <c r="F15" s="97" t="str">
        <f t="shared" ref="F15:F23" si="0">IF(C15="","",IF(COUNT($C$15:$C$23)=0,"",RANK($C15,$C$15:$C$23,0)))</f>
        <v/>
      </c>
      <c r="G15" s="49"/>
      <c r="H15" s="15"/>
      <c r="I15" s="59"/>
      <c r="J15" s="60"/>
      <c r="K15" s="60"/>
      <c r="L15" s="99" t="str">
        <f>IF(OR(J15="",K15=""),"",K15-J15)</f>
        <v/>
      </c>
      <c r="M15" s="97" t="str">
        <f t="shared" ref="M15:M23" si="1">IF(J15="","",IF(COUNT($J$15:$J$23)=0,"",RANK($J15,$J$15:$J$23,0)))</f>
        <v/>
      </c>
      <c r="N15" s="13"/>
      <c r="P15" s="137"/>
      <c r="Q15" s="7" t="s">
        <v>3</v>
      </c>
      <c r="R15" s="5" t="s">
        <v>4</v>
      </c>
      <c r="S15" s="6" t="s">
        <v>5</v>
      </c>
      <c r="T15" s="7" t="s">
        <v>3</v>
      </c>
      <c r="U15" s="5" t="s">
        <v>4</v>
      </c>
      <c r="V15" s="6" t="s">
        <v>5</v>
      </c>
    </row>
    <row r="16" spans="1:22" ht="30" customHeight="1" x14ac:dyDescent="0.2">
      <c r="A16" s="47"/>
      <c r="B16" s="59"/>
      <c r="C16" s="60"/>
      <c r="D16" s="60"/>
      <c r="E16" s="99" t="str">
        <f t="shared" ref="E16:E23" si="2">IF(OR(C16="",D16=""),"",D16-C16)</f>
        <v/>
      </c>
      <c r="F16" s="97" t="str">
        <f t="shared" si="0"/>
        <v/>
      </c>
      <c r="G16" s="49"/>
      <c r="H16" s="15"/>
      <c r="I16" s="59"/>
      <c r="J16" s="60"/>
      <c r="K16" s="60"/>
      <c r="L16" s="99" t="str">
        <f t="shared" ref="L16:L23" si="3">IF(OR(J16="",K16=""),"",K16-J16)</f>
        <v/>
      </c>
      <c r="M16" s="97" t="str">
        <f t="shared" si="1"/>
        <v/>
      </c>
      <c r="N16" s="13"/>
      <c r="P16" s="35" t="s">
        <v>6</v>
      </c>
      <c r="Q16" s="36">
        <v>40</v>
      </c>
      <c r="R16" s="37">
        <v>35</v>
      </c>
      <c r="S16" s="38">
        <v>30</v>
      </c>
      <c r="T16" s="36">
        <v>45</v>
      </c>
      <c r="U16" s="37">
        <v>40</v>
      </c>
      <c r="V16" s="38">
        <v>35</v>
      </c>
    </row>
    <row r="17" spans="1:22" ht="30" customHeight="1" x14ac:dyDescent="0.2">
      <c r="A17" s="47"/>
      <c r="B17" s="59"/>
      <c r="C17" s="60"/>
      <c r="D17" s="60"/>
      <c r="E17" s="99" t="str">
        <f t="shared" si="2"/>
        <v/>
      </c>
      <c r="F17" s="97" t="str">
        <f t="shared" si="0"/>
        <v/>
      </c>
      <c r="G17" s="49"/>
      <c r="H17" s="15"/>
      <c r="I17" s="59"/>
      <c r="J17" s="60"/>
      <c r="K17" s="60"/>
      <c r="L17" s="99" t="str">
        <f t="shared" si="3"/>
        <v/>
      </c>
      <c r="M17" s="97" t="str">
        <f t="shared" si="1"/>
        <v/>
      </c>
      <c r="N17" s="13"/>
      <c r="P17" s="39" t="s">
        <v>7</v>
      </c>
      <c r="Q17" s="40">
        <v>45</v>
      </c>
      <c r="R17" s="41">
        <v>40</v>
      </c>
      <c r="S17" s="42">
        <v>35</v>
      </c>
      <c r="T17" s="40">
        <v>50</v>
      </c>
      <c r="U17" s="41">
        <v>45</v>
      </c>
      <c r="V17" s="42">
        <v>40</v>
      </c>
    </row>
    <row r="18" spans="1:22" ht="30" customHeight="1" x14ac:dyDescent="0.2">
      <c r="A18" s="47"/>
      <c r="B18" s="59"/>
      <c r="C18" s="60"/>
      <c r="D18" s="60"/>
      <c r="E18" s="99" t="str">
        <f t="shared" si="2"/>
        <v/>
      </c>
      <c r="F18" s="97" t="str">
        <f t="shared" si="0"/>
        <v/>
      </c>
      <c r="G18" s="49"/>
      <c r="H18" s="15"/>
      <c r="I18" s="59"/>
      <c r="J18" s="60"/>
      <c r="K18" s="60"/>
      <c r="L18" s="99" t="str">
        <f t="shared" si="3"/>
        <v/>
      </c>
      <c r="M18" s="97" t="str">
        <f t="shared" si="1"/>
        <v/>
      </c>
      <c r="N18" s="13"/>
      <c r="P18" s="39" t="s">
        <v>8</v>
      </c>
      <c r="Q18" s="40">
        <v>50</v>
      </c>
      <c r="R18" s="41">
        <v>45</v>
      </c>
      <c r="S18" s="42">
        <v>40</v>
      </c>
      <c r="T18" s="40">
        <v>55</v>
      </c>
      <c r="U18" s="41">
        <v>50</v>
      </c>
      <c r="V18" s="42">
        <v>45</v>
      </c>
    </row>
    <row r="19" spans="1:22" ht="30" customHeight="1" thickBot="1" x14ac:dyDescent="0.25">
      <c r="A19" s="47"/>
      <c r="B19" s="59"/>
      <c r="C19" s="60"/>
      <c r="D19" s="60"/>
      <c r="E19" s="99" t="str">
        <f t="shared" si="2"/>
        <v/>
      </c>
      <c r="F19" s="97" t="str">
        <f t="shared" si="0"/>
        <v/>
      </c>
      <c r="G19" s="49"/>
      <c r="H19" s="15"/>
      <c r="I19" s="59"/>
      <c r="J19" s="60"/>
      <c r="K19" s="60"/>
      <c r="L19" s="99" t="str">
        <f t="shared" si="3"/>
        <v/>
      </c>
      <c r="M19" s="97" t="str">
        <f t="shared" si="1"/>
        <v/>
      </c>
      <c r="N19" s="13"/>
      <c r="P19" s="43" t="s">
        <v>9</v>
      </c>
      <c r="Q19" s="44">
        <v>55</v>
      </c>
      <c r="R19" s="45">
        <v>50</v>
      </c>
      <c r="S19" s="46">
        <v>45</v>
      </c>
      <c r="T19" s="44">
        <v>60</v>
      </c>
      <c r="U19" s="45">
        <v>55</v>
      </c>
      <c r="V19" s="46">
        <v>50</v>
      </c>
    </row>
    <row r="20" spans="1:22" ht="30" customHeight="1" x14ac:dyDescent="0.2">
      <c r="A20" s="47"/>
      <c r="B20" s="59"/>
      <c r="C20" s="60"/>
      <c r="D20" s="60"/>
      <c r="E20" s="99" t="str">
        <f t="shared" si="2"/>
        <v/>
      </c>
      <c r="F20" s="97" t="str">
        <f t="shared" si="0"/>
        <v/>
      </c>
      <c r="G20" s="49"/>
      <c r="H20" s="15"/>
      <c r="I20" s="59"/>
      <c r="J20" s="60"/>
      <c r="K20" s="60"/>
      <c r="L20" s="99" t="str">
        <f t="shared" si="3"/>
        <v/>
      </c>
      <c r="M20" s="97" t="str">
        <f t="shared" si="1"/>
        <v/>
      </c>
      <c r="N20" s="13"/>
    </row>
    <row r="21" spans="1:22" ht="30" customHeight="1" x14ac:dyDescent="0.2">
      <c r="A21" s="47"/>
      <c r="B21" s="59"/>
      <c r="C21" s="60"/>
      <c r="D21" s="60"/>
      <c r="E21" s="99" t="str">
        <f t="shared" si="2"/>
        <v/>
      </c>
      <c r="F21" s="97" t="str">
        <f t="shared" si="0"/>
        <v/>
      </c>
      <c r="G21" s="49"/>
      <c r="H21" s="15"/>
      <c r="I21" s="59"/>
      <c r="J21" s="60"/>
      <c r="K21" s="60"/>
      <c r="L21" s="99" t="str">
        <f t="shared" si="3"/>
        <v/>
      </c>
      <c r="M21" s="97" t="str">
        <f t="shared" si="1"/>
        <v/>
      </c>
      <c r="N21" s="13"/>
    </row>
    <row r="22" spans="1:22" ht="30" customHeight="1" x14ac:dyDescent="0.2">
      <c r="A22" s="47"/>
      <c r="B22" s="59"/>
      <c r="C22" s="60"/>
      <c r="D22" s="60"/>
      <c r="E22" s="99" t="str">
        <f t="shared" si="2"/>
        <v/>
      </c>
      <c r="F22" s="97" t="str">
        <f t="shared" si="0"/>
        <v/>
      </c>
      <c r="G22" s="49"/>
      <c r="H22" s="15"/>
      <c r="I22" s="59"/>
      <c r="J22" s="60"/>
      <c r="K22" s="60"/>
      <c r="L22" s="99" t="str">
        <f t="shared" si="3"/>
        <v/>
      </c>
      <c r="M22" s="97" t="str">
        <f t="shared" si="1"/>
        <v/>
      </c>
      <c r="N22" s="13"/>
    </row>
    <row r="23" spans="1:22" ht="30" customHeight="1" x14ac:dyDescent="0.2">
      <c r="A23" s="47"/>
      <c r="B23" s="59"/>
      <c r="C23" s="60"/>
      <c r="D23" s="60"/>
      <c r="E23" s="99" t="str">
        <f t="shared" si="2"/>
        <v/>
      </c>
      <c r="F23" s="97" t="str">
        <f t="shared" si="0"/>
        <v/>
      </c>
      <c r="G23" s="49"/>
      <c r="H23" s="15"/>
      <c r="I23" s="59"/>
      <c r="J23" s="60"/>
      <c r="K23" s="60"/>
      <c r="L23" s="99" t="str">
        <f t="shared" si="3"/>
        <v/>
      </c>
      <c r="M23" s="97" t="str">
        <f t="shared" si="1"/>
        <v/>
      </c>
      <c r="N23" s="13"/>
    </row>
    <row r="24" spans="1:22" ht="5.0999999999999996" customHeight="1" x14ac:dyDescent="0.2">
      <c r="A24" s="47"/>
      <c r="B24" s="65"/>
      <c r="C24" s="65"/>
      <c r="D24" s="65"/>
      <c r="E24" s="65"/>
      <c r="F24" s="65"/>
      <c r="G24" s="49"/>
      <c r="H24" s="15"/>
      <c r="I24" s="66"/>
      <c r="J24" s="66"/>
      <c r="K24" s="66"/>
      <c r="L24" s="66"/>
      <c r="M24" s="66"/>
      <c r="N24" s="13"/>
    </row>
    <row r="25" spans="1:22" ht="30" customHeight="1" x14ac:dyDescent="0.2">
      <c r="A25" s="47"/>
      <c r="B25" s="54" t="s">
        <v>69</v>
      </c>
      <c r="C25" s="98" t="str">
        <f>IF(COUNT(C15:C23)=0,"",MAX(C15:C23)-MIN(C15:C23))</f>
        <v/>
      </c>
      <c r="D25" s="62" t="s">
        <v>33</v>
      </c>
      <c r="E25" s="99" t="str">
        <f>IF(COUNT(C15:C23)=0,"",VLOOKUP(MEDIAN(C15:C23),C15:E23,3,FALSE))</f>
        <v/>
      </c>
      <c r="F25" s="54"/>
      <c r="G25" s="49"/>
      <c r="H25" s="15"/>
      <c r="I25" s="20" t="str">
        <f>B25</f>
        <v>Max - Min:</v>
      </c>
      <c r="J25" s="98" t="str">
        <f>IF(COUNT(J15:J23)=0,"",MAX(J15:J23)-MIN(J15:J23))</f>
        <v/>
      </c>
      <c r="K25" s="63" t="s">
        <v>33</v>
      </c>
      <c r="L25" s="98" t="str">
        <f>IF(COUNT(J15:J23)=0,"",VLOOKUP(MEDIAN(J15:J23),J15:L23,3,FALSE))</f>
        <v/>
      </c>
      <c r="M25" s="20"/>
      <c r="N25" s="13"/>
    </row>
    <row r="26" spans="1:22" ht="5.0999999999999996" customHeight="1" x14ac:dyDescent="0.2">
      <c r="A26" s="47"/>
      <c r="B26" s="54"/>
      <c r="C26" s="54"/>
      <c r="D26" s="54"/>
      <c r="E26" s="54"/>
      <c r="F26" s="54"/>
      <c r="G26" s="49"/>
      <c r="H26" s="15"/>
      <c r="I26" s="20"/>
      <c r="J26" s="20"/>
      <c r="K26" s="20"/>
      <c r="L26" s="20"/>
      <c r="M26" s="20"/>
      <c r="N26" s="13"/>
    </row>
    <row r="27" spans="1:22" ht="30" customHeight="1" x14ac:dyDescent="0.2">
      <c r="A27" s="47"/>
      <c r="B27" s="52" t="s">
        <v>59</v>
      </c>
      <c r="C27" s="53"/>
      <c r="D27" s="53"/>
      <c r="E27" s="53"/>
      <c r="F27" s="53"/>
      <c r="G27" s="49"/>
      <c r="H27" s="15"/>
      <c r="I27" s="18" t="str">
        <f>B27</f>
        <v>C1) Grundgeräuschpegelkorrektur aufgrund Hörbarkeit:</v>
      </c>
      <c r="J27" s="19"/>
      <c r="K27" s="19"/>
      <c r="L27" s="19"/>
      <c r="M27" s="19"/>
      <c r="N27" s="13"/>
    </row>
    <row r="28" spans="1:22" ht="30" customHeight="1" x14ac:dyDescent="0.2">
      <c r="A28" s="47"/>
      <c r="B28" s="3" t="s">
        <v>17</v>
      </c>
      <c r="C28" s="151" t="s">
        <v>18</v>
      </c>
      <c r="D28" s="152"/>
      <c r="E28" s="153"/>
      <c r="F28" s="8" t="s">
        <v>19</v>
      </c>
      <c r="G28" s="49"/>
      <c r="H28" s="15"/>
      <c r="I28" s="3" t="s">
        <v>17</v>
      </c>
      <c r="J28" s="151" t="s">
        <v>18</v>
      </c>
      <c r="K28" s="152"/>
      <c r="L28" s="153"/>
      <c r="M28" s="8" t="s">
        <v>19</v>
      </c>
      <c r="N28" s="13"/>
    </row>
    <row r="29" spans="1:22" ht="30" customHeight="1" x14ac:dyDescent="0.2">
      <c r="A29" s="47"/>
      <c r="B29" s="57"/>
      <c r="C29" s="149" t="s">
        <v>13</v>
      </c>
      <c r="D29" s="149"/>
      <c r="E29" s="149"/>
      <c r="F29" s="61">
        <v>0</v>
      </c>
      <c r="G29" s="49"/>
      <c r="H29" s="15"/>
      <c r="I29" s="57"/>
      <c r="J29" s="149" t="s">
        <v>13</v>
      </c>
      <c r="K29" s="149"/>
      <c r="L29" s="149"/>
      <c r="M29" s="61">
        <v>0</v>
      </c>
      <c r="N29" s="13"/>
    </row>
    <row r="30" spans="1:22" ht="30" customHeight="1" x14ac:dyDescent="0.2">
      <c r="A30" s="47"/>
      <c r="B30" s="57"/>
      <c r="C30" s="149" t="s">
        <v>14</v>
      </c>
      <c r="D30" s="149"/>
      <c r="E30" s="149"/>
      <c r="F30" s="61">
        <v>-1</v>
      </c>
      <c r="G30" s="49"/>
      <c r="H30" s="15"/>
      <c r="I30" s="57"/>
      <c r="J30" s="149" t="s">
        <v>14</v>
      </c>
      <c r="K30" s="149"/>
      <c r="L30" s="149"/>
      <c r="M30" s="61">
        <v>-1</v>
      </c>
      <c r="N30" s="13"/>
    </row>
    <row r="31" spans="1:22" ht="30" customHeight="1" x14ac:dyDescent="0.2">
      <c r="A31" s="47"/>
      <c r="B31" s="57"/>
      <c r="C31" s="149" t="s">
        <v>15</v>
      </c>
      <c r="D31" s="149"/>
      <c r="E31" s="149"/>
      <c r="F31" s="61">
        <v>-2</v>
      </c>
      <c r="G31" s="49"/>
      <c r="H31" s="15"/>
      <c r="I31" s="57"/>
      <c r="J31" s="149" t="s">
        <v>15</v>
      </c>
      <c r="K31" s="149"/>
      <c r="L31" s="149"/>
      <c r="M31" s="61">
        <v>-2</v>
      </c>
      <c r="N31" s="13"/>
    </row>
    <row r="32" spans="1:22" ht="30" customHeight="1" x14ac:dyDescent="0.2">
      <c r="A32" s="47"/>
      <c r="B32" s="57"/>
      <c r="C32" s="149" t="s">
        <v>16</v>
      </c>
      <c r="D32" s="149"/>
      <c r="E32" s="149"/>
      <c r="F32" s="61">
        <v>-3</v>
      </c>
      <c r="G32" s="49"/>
      <c r="H32" s="15"/>
      <c r="I32" s="57"/>
      <c r="J32" s="149" t="s">
        <v>16</v>
      </c>
      <c r="K32" s="149"/>
      <c r="L32" s="149"/>
      <c r="M32" s="61">
        <v>-3</v>
      </c>
      <c r="N32" s="13"/>
    </row>
    <row r="33" spans="1:14" ht="30" customHeight="1" x14ac:dyDescent="0.2">
      <c r="A33" s="47"/>
      <c r="B33" s="67" t="s">
        <v>60</v>
      </c>
      <c r="C33" s="67"/>
      <c r="D33" s="67"/>
      <c r="E33" s="67"/>
      <c r="F33" s="67"/>
      <c r="G33" s="49"/>
      <c r="H33" s="15"/>
      <c r="I33" s="68" t="str">
        <f>B33</f>
        <v>C2) Grundgeräuschpegelkorrektur aufgrund Messung</v>
      </c>
      <c r="J33" s="68"/>
      <c r="K33" s="68"/>
      <c r="L33" s="68"/>
      <c r="M33" s="12"/>
      <c r="N33" s="13"/>
    </row>
    <row r="34" spans="1:14" ht="30" customHeight="1" x14ac:dyDescent="0.2">
      <c r="A34" s="47"/>
      <c r="B34" s="3" t="s">
        <v>47</v>
      </c>
      <c r="C34" s="64" t="s">
        <v>34</v>
      </c>
      <c r="D34" s="4" t="s">
        <v>40</v>
      </c>
      <c r="E34" s="4" t="s">
        <v>41</v>
      </c>
      <c r="F34" s="8" t="s">
        <v>19</v>
      </c>
      <c r="G34" s="49"/>
      <c r="H34" s="15"/>
      <c r="I34" s="3" t="s">
        <v>47</v>
      </c>
      <c r="J34" s="64" t="s">
        <v>34</v>
      </c>
      <c r="K34" s="4" t="s">
        <v>40</v>
      </c>
      <c r="L34" s="4" t="s">
        <v>41</v>
      </c>
      <c r="M34" s="8" t="s">
        <v>19</v>
      </c>
      <c r="N34" s="13"/>
    </row>
    <row r="35" spans="1:14" ht="30" customHeight="1" x14ac:dyDescent="0.2">
      <c r="A35" s="47"/>
      <c r="B35" s="59"/>
      <c r="C35" s="57"/>
      <c r="D35" s="60"/>
      <c r="E35" s="60"/>
      <c r="F35" s="99" t="str">
        <f>IF(OR(COUNT(C15:C23)=0,D35=""),"",IF(ISERROR(VLOOKUP(MEDIAN(C15:C23),C15:C23,1,FALSE)),"",10*LOG(10^(0.1*VLOOKUP(MEDIAN(C15:C23),C15:C23,1,FALSE))-10^(0.1*D35)))-VLOOKUP(MEDIAN(C15:C23),C15:C23,1,FALSE))</f>
        <v/>
      </c>
      <c r="G35" s="49"/>
      <c r="H35" s="15"/>
      <c r="I35" s="59"/>
      <c r="J35" s="57"/>
      <c r="K35" s="60"/>
      <c r="L35" s="60"/>
      <c r="M35" s="99" t="str">
        <f>IF(OR(COUNT(J15:J23)=0,K35=""),"",IF(ISERROR(VLOOKUP(MEDIAN(J15:J23),J15:J23,1,FALSE)),"",10*LOG(10^(0.1*VLOOKUP(MEDIAN(J15:J23),J15:J23,1,FALSE))-10^(0.1*K35)))-VLOOKUP(MEDIAN(J15:J23),J15:J23,1,FALSE))</f>
        <v/>
      </c>
      <c r="N35" s="13"/>
    </row>
    <row r="36" spans="1:14" ht="30" customHeight="1" x14ac:dyDescent="0.2">
      <c r="A36" s="47"/>
      <c r="B36" s="69" t="s">
        <v>61</v>
      </c>
      <c r="C36" s="69"/>
      <c r="D36" s="69"/>
      <c r="E36" s="49"/>
      <c r="F36" s="82" t="s">
        <v>51</v>
      </c>
      <c r="G36" s="49"/>
      <c r="H36" s="15"/>
      <c r="I36" s="70" t="s">
        <v>42</v>
      </c>
      <c r="J36" s="70"/>
      <c r="K36" s="70"/>
      <c r="L36" s="12"/>
      <c r="M36" s="83" t="s">
        <v>51</v>
      </c>
      <c r="N36" s="13"/>
    </row>
    <row r="37" spans="1:14" ht="30" customHeight="1" x14ac:dyDescent="0.2">
      <c r="A37" s="47"/>
      <c r="B37" s="62"/>
      <c r="C37" s="95" t="s">
        <v>49</v>
      </c>
      <c r="D37" s="96" t="s">
        <v>50</v>
      </c>
      <c r="E37" s="73"/>
      <c r="F37" s="4" t="s">
        <v>46</v>
      </c>
      <c r="G37" s="49"/>
      <c r="H37" s="15"/>
      <c r="I37" s="63"/>
      <c r="J37" s="95" t="s">
        <v>49</v>
      </c>
      <c r="K37" s="96" t="s">
        <v>50</v>
      </c>
      <c r="L37" s="87"/>
      <c r="M37" s="4" t="s">
        <v>46</v>
      </c>
      <c r="N37" s="13"/>
    </row>
    <row r="38" spans="1:14" ht="30" customHeight="1" x14ac:dyDescent="0.2">
      <c r="A38" s="47"/>
      <c r="B38" s="71" t="s">
        <v>33</v>
      </c>
      <c r="C38" s="100" t="str">
        <f>IF(E25="","",E25)</f>
        <v/>
      </c>
      <c r="D38" s="101" t="str">
        <f>IF(OR(D35="",E35=""),"",IF(ISERROR(VLOOKUP(MEDIAN(C15:C23),C15:E23,2,FALSE)),"",(10*LOG(10^(0.1*VLOOKUP(MEDIAN(C15:C23),C15:E23,2,FALSE))-10^(0.1*E35))-10*LOG(10^(0.1*MEDIAN(C15:C23))-10^(0.1*D35)))))</f>
        <v/>
      </c>
      <c r="E38" s="74" t="s">
        <v>48</v>
      </c>
      <c r="F38" s="99" t="str">
        <f>IF(AND(C38="",D38=""),"",IF(D38="",IF(C38&lt;=12,0,3),IF(D38&lt;=12,0,3)))</f>
        <v/>
      </c>
      <c r="G38" s="49"/>
      <c r="H38" s="15"/>
      <c r="I38" s="85" t="s">
        <v>33</v>
      </c>
      <c r="J38" s="100" t="str">
        <f>IF(L25="","",L25)</f>
        <v/>
      </c>
      <c r="K38" s="101" t="str">
        <f>IF(OR(K35="",L35=""),"",IF(ISERROR(VLOOKUP(MEDIAN(J15:J23),J15:L23,2,FALSE)),"",(10*LOG(10^(0.1*VLOOKUP(MEDIAN(J15:J23),J15:L23,2,FALSE))-10^(0.1*L35))-10*LOG(10^(0.1*MEDIAN(J15:J23))-10^(0.1*K35)))))</f>
        <v/>
      </c>
      <c r="L38" s="88" t="s">
        <v>48</v>
      </c>
      <c r="M38" s="99" t="str">
        <f>IF(AND(J38="",K38=""),"",IF(K38="",IF(J38&lt;=12,0,3),IF(K38&lt;=12,0,3)))</f>
        <v/>
      </c>
      <c r="N38" s="13"/>
    </row>
    <row r="39" spans="1:14" s="81" customFormat="1" ht="15" customHeight="1" x14ac:dyDescent="0.2">
      <c r="A39" s="75"/>
      <c r="B39" s="76"/>
      <c r="C39" s="77" t="s">
        <v>63</v>
      </c>
      <c r="D39" s="77" t="s">
        <v>64</v>
      </c>
      <c r="E39" s="77"/>
      <c r="F39" s="77" t="s">
        <v>65</v>
      </c>
      <c r="G39" s="78"/>
      <c r="H39" s="79"/>
      <c r="I39" s="84"/>
      <c r="J39" s="86" t="s">
        <v>63</v>
      </c>
      <c r="K39" s="86" t="s">
        <v>64</v>
      </c>
      <c r="L39" s="86"/>
      <c r="M39" s="86" t="s">
        <v>65</v>
      </c>
      <c r="N39" s="80"/>
    </row>
    <row r="40" spans="1:14" ht="30" customHeight="1" x14ac:dyDescent="0.2">
      <c r="A40" s="47"/>
      <c r="B40" s="48" t="s">
        <v>80</v>
      </c>
      <c r="C40" s="49"/>
      <c r="D40" s="49"/>
      <c r="E40" s="49"/>
      <c r="F40" s="49"/>
      <c r="G40" s="49"/>
      <c r="H40" s="15"/>
      <c r="I40" s="11" t="str">
        <f>B40</f>
        <v>D) Beurteilungspegel:</v>
      </c>
      <c r="J40" s="12"/>
      <c r="K40" s="12"/>
      <c r="L40" s="12"/>
      <c r="M40" s="12"/>
      <c r="N40" s="13"/>
    </row>
    <row r="41" spans="1:14" ht="30" customHeight="1" x14ac:dyDescent="0.2">
      <c r="A41" s="47"/>
      <c r="B41" s="91" t="s">
        <v>20</v>
      </c>
      <c r="C41" s="90" t="s">
        <v>29</v>
      </c>
      <c r="D41" s="90" t="s">
        <v>30</v>
      </c>
      <c r="E41" s="89" t="s">
        <v>70</v>
      </c>
      <c r="F41" s="72" t="s">
        <v>31</v>
      </c>
      <c r="G41" s="49"/>
      <c r="H41" s="15"/>
      <c r="I41" s="91" t="s">
        <v>20</v>
      </c>
      <c r="J41" s="90" t="s">
        <v>29</v>
      </c>
      <c r="K41" s="90" t="s">
        <v>30</v>
      </c>
      <c r="L41" s="89" t="s">
        <v>70</v>
      </c>
      <c r="M41" s="72" t="s">
        <v>31</v>
      </c>
      <c r="N41" s="13"/>
    </row>
    <row r="42" spans="1:14" ht="30" customHeight="1" x14ac:dyDescent="0.2">
      <c r="A42" s="47"/>
      <c r="B42" s="102" t="str">
        <f>IF(COUNT(C15:C23)=0,"",MEDIAN(C15:C23))</f>
        <v/>
      </c>
      <c r="C42" s="103" t="str">
        <f>IF(F35&lt;&gt;"",F35,IF(ISERROR(VLOOKUP("x",B29:F32,5,FALSE)),"",VLOOKUP("x",B29:F32,5,FALSE)))</f>
        <v/>
      </c>
      <c r="D42" s="103" t="str">
        <f>IF(F38="","",F38)</f>
        <v/>
      </c>
      <c r="E42" s="92"/>
      <c r="F42" s="98" t="str">
        <f>IF(B42="","",SUM(B42:E42))</f>
        <v/>
      </c>
      <c r="G42" s="51"/>
      <c r="H42" s="16"/>
      <c r="I42" s="102" t="str">
        <f>IF(COUNT(J15:J23)=0,"",MEDIAN(J15:J23))</f>
        <v/>
      </c>
      <c r="J42" s="103" t="str">
        <f>IF(M35&lt;&gt;"",M35,IF(ISERROR(VLOOKUP("x",I29:M32,5,FALSE)),"",VLOOKUP("x",I29:M32,5,FALSE)))</f>
        <v/>
      </c>
      <c r="K42" s="103" t="str">
        <f>IF(M38="","",M38)</f>
        <v/>
      </c>
      <c r="L42" s="92"/>
      <c r="M42" s="98" t="str">
        <f>IF(I42="","",SUM(I42:L42))</f>
        <v/>
      </c>
      <c r="N42" s="13"/>
    </row>
    <row r="43" spans="1:14" ht="15" customHeight="1" x14ac:dyDescent="0.2">
      <c r="A43" s="47"/>
      <c r="B43" s="94"/>
      <c r="C43" s="94"/>
      <c r="D43" s="94"/>
      <c r="E43" s="105"/>
      <c r="F43" s="77" t="s">
        <v>66</v>
      </c>
      <c r="G43" s="51"/>
      <c r="H43" s="16"/>
      <c r="I43" s="93"/>
      <c r="J43" s="93"/>
      <c r="K43" s="93"/>
      <c r="L43" s="106"/>
      <c r="M43" s="86" t="s">
        <v>66</v>
      </c>
      <c r="N43" s="13"/>
    </row>
    <row r="44" spans="1:14" ht="30" customHeight="1" x14ac:dyDescent="0.2">
      <c r="A44" s="47"/>
      <c r="B44" s="48" t="s">
        <v>62</v>
      </c>
      <c r="C44" s="49"/>
      <c r="D44" s="155" t="str">
        <f>IF(F10="","",IF(YEAR(Bewilligungsdatum)&lt;1985,"bestehende Anlage","Neuanlage"))</f>
        <v/>
      </c>
      <c r="E44" s="155"/>
      <c r="F44" s="155"/>
      <c r="G44" s="49"/>
      <c r="H44" s="15"/>
      <c r="I44" s="11" t="str">
        <f>B44</f>
        <v>E) Richtwerte eingehalten für</v>
      </c>
      <c r="J44" s="12"/>
      <c r="K44" s="156" t="str">
        <f>IF(F10="","",IF(YEAR(Bewilligungsdatum)&lt;1985,"bestehende Anlage","Neuanlage"))</f>
        <v/>
      </c>
      <c r="L44" s="156"/>
      <c r="M44" s="156"/>
      <c r="N44" s="13"/>
    </row>
    <row r="45" spans="1:14" ht="30" customHeight="1" x14ac:dyDescent="0.2">
      <c r="A45" s="47"/>
      <c r="B45" s="10" t="s">
        <v>21</v>
      </c>
      <c r="C45" s="58" t="s">
        <v>10</v>
      </c>
      <c r="D45" s="9" t="str">
        <f>IF(OR(ES="",D44=""),"Tag",IF(D44="Neuanlage",CONCATENATE("Tag:              ",VLOOKUP(ES,$P$16:$V$19,2)," dB"),CONCATENATE("Tag:              ",VLOOKUP(ES,$P$16:$V$19,5)," dB")))</f>
        <v>Tag</v>
      </c>
      <c r="E45" s="9" t="str">
        <f>IF(OR(ES="",D44=""),"Abend",IF(D44="Neuanlage",CONCATENATE("Abend:              ",VLOOKUP(ES,$P$16:$V$19,3)," dB"),CONCATENATE("Abend:              ",VLOOKUP(ES,$P$16:$V$19,6)," dB")))</f>
        <v>Abend</v>
      </c>
      <c r="F45" s="9" t="str">
        <f>IF(OR(ES="",D44=""),"Nacht",IF(D44="Neuanlage",CONCATENATE("Nacht:              ",VLOOKUP(ES,$P$16:$V$19,4)," dB"),CONCATENATE("Nacht:              ",VLOOKUP(ES,$P$16:$V$19,7)," dB")))</f>
        <v>Nacht</v>
      </c>
      <c r="G45" s="50"/>
      <c r="H45" s="14"/>
      <c r="I45" s="10" t="s">
        <v>21</v>
      </c>
      <c r="J45" s="58" t="s">
        <v>10</v>
      </c>
      <c r="K45" s="9" t="str">
        <f>IF(OR(ES="",K44=""),"Tag",IF(K44="Neuanlage",CONCATENATE("Tag:              ",VLOOKUP(ES,$P$6:$V$9,2)," dB"),CONCATENATE("Tag:              ",VLOOKUP(ES,$P$6:$V$9,5)," dB")))</f>
        <v>Tag</v>
      </c>
      <c r="L45" s="9" t="str">
        <f>IF(OR(ES="",K44=""),"Abend",IF(K44="Neuanlage",CONCATENATE("Abend:              ",VLOOKUP(ES,$P$6:$V$9,3)," dB"),CONCATENATE("Abend:              ",VLOOKUP(ES,$P$6:$V$9,6)," dB")))</f>
        <v>Abend</v>
      </c>
      <c r="M45" s="9" t="str">
        <f>IF(OR(ES="",K44=""),"Nacht",IF(K44="Neuanlage",CONCATENATE("Nacht:              ",VLOOKUP(ES,$P$6:$V$9,4)," dB"),CONCATENATE("Nacht:              ",VLOOKUP(ES,$P$6:$V$9,7)," dB")))</f>
        <v>Nacht</v>
      </c>
      <c r="N45" s="13"/>
    </row>
    <row r="46" spans="1:14" ht="30" customHeight="1" x14ac:dyDescent="0.2">
      <c r="A46" s="47"/>
      <c r="B46" s="98" t="str">
        <f>IF(F42="","",F42)</f>
        <v/>
      </c>
      <c r="C46" s="104" t="str">
        <f>IF(ES="","",ES)</f>
        <v/>
      </c>
      <c r="D46" s="104" t="str">
        <f>IF(OR($B46="",D44=""),"",IF(D44="Neuanlage",IF(ROUND($B46,1)&gt;VLOOKUP(ES,$P$16:$V$19,2,FALSE),"Nein","Ja"),IF(ROUND($B46,1)&gt;VLOOKUP(ES,$P$16:$V$19,5,FALSE),"Nein","Ja")))</f>
        <v/>
      </c>
      <c r="E46" s="104" t="str">
        <f>IF(OR($B46="",D44=""),"",IF($D$44="Neuanlage",IF(ROUND($B46,1)&gt;VLOOKUP(ES,$P$16:$V$19,3,FALSE),"Nein","Ja"),IF(ROUND($B46,1)&gt;VLOOKUP(ES,$P$16:$V$19,6,FALSE),"Nein","Ja")))</f>
        <v/>
      </c>
      <c r="F46" s="104" t="str">
        <f>IF(OR($B46="",D44=""),"",IF($D$44="Neuanlage",IF(ROUND($B46,1)&gt;VLOOKUP(ES,$P$16:$V$19,4,FALSE),"Nein","Ja"),IF(ROUND($B46,1)&gt;VLOOKUP(ES,$P$16:$V$19,7,FALSE),"Nein","Ja")))</f>
        <v/>
      </c>
      <c r="G46" s="50"/>
      <c r="H46" s="14"/>
      <c r="I46" s="98" t="str">
        <f>IF(M42="","",M42)</f>
        <v/>
      </c>
      <c r="J46" s="104" t="str">
        <f>IF(ES="","",ES)</f>
        <v/>
      </c>
      <c r="K46" s="104" t="str">
        <f>IF(OR($I46="",K44=""),"",IF($K$44="Neuanlage",IF(ROUND($I46,1)&gt;VLOOKUP(ES,$P$6:$V$9,2,FALSE),"Nein","Ja"),IF(ROUND($B46,1)&gt;VLOOKUP(ES,$P$6:$V$9,5,FALSE),"Nein","Ja")))</f>
        <v/>
      </c>
      <c r="L46" s="104" t="str">
        <f>IF(OR($I46="",K44=""),"",IF($K$44="Neuanlage",IF(ROUND($I46,1)&gt;VLOOKUP(ES,$P$6:$V$9,3,FALSE),"Nein","Ja"),IF(ROUND($I46,1)&gt;VLOOKUP(ES,$P$6:$V$9,6,FALSE),"Nein","Ja")))</f>
        <v/>
      </c>
      <c r="M46" s="104" t="str">
        <f>IF(OR($I46="",K44=""),"",IF($K$44="Neuanlage",IF(ROUND($I46,1)&gt;VLOOKUP(ES,$P$6:$V$9,4,FALSE),"Nein","Ja"),IF(ROUND($I46,1)&gt;VLOOKUP(ES,$P$6:$V$9,7,FALSE),"Nein","Ja")))</f>
        <v/>
      </c>
      <c r="N46" s="13"/>
    </row>
    <row r="47" spans="1:14" ht="12.95" customHeight="1" x14ac:dyDescent="0.2">
      <c r="A47" s="55"/>
      <c r="B47" s="56"/>
      <c r="C47" s="56"/>
      <c r="D47" s="56"/>
      <c r="E47" s="56"/>
      <c r="F47" s="56"/>
      <c r="G47" s="56"/>
      <c r="H47" s="21"/>
      <c r="I47" s="22"/>
      <c r="J47" s="22"/>
      <c r="K47" s="22"/>
      <c r="L47" s="22"/>
      <c r="M47" s="22"/>
      <c r="N47" s="23"/>
    </row>
  </sheetData>
  <sheetProtection sheet="1" objects="1" scenarios="1" selectLockedCells="1"/>
  <mergeCells count="35">
    <mergeCell ref="D44:F44"/>
    <mergeCell ref="K44:M44"/>
    <mergeCell ref="J8:M8"/>
    <mergeCell ref="C9:F9"/>
    <mergeCell ref="C32:E32"/>
    <mergeCell ref="J32:L32"/>
    <mergeCell ref="A12:G12"/>
    <mergeCell ref="H12:N12"/>
    <mergeCell ref="J9:M9"/>
    <mergeCell ref="J10:M10"/>
    <mergeCell ref="C29:E29"/>
    <mergeCell ref="J29:L29"/>
    <mergeCell ref="C30:E30"/>
    <mergeCell ref="J30:L30"/>
    <mergeCell ref="I9:I10"/>
    <mergeCell ref="C31:E31"/>
    <mergeCell ref="J31:L31"/>
    <mergeCell ref="B13:F13"/>
    <mergeCell ref="T14:V14"/>
    <mergeCell ref="C28:E28"/>
    <mergeCell ref="J28:L28"/>
    <mergeCell ref="Q14:S14"/>
    <mergeCell ref="P14:P15"/>
    <mergeCell ref="I13:M13"/>
    <mergeCell ref="P1:V1"/>
    <mergeCell ref="T4:V4"/>
    <mergeCell ref="A1:N1"/>
    <mergeCell ref="A2:N2"/>
    <mergeCell ref="C4:F4"/>
    <mergeCell ref="J4:K4"/>
    <mergeCell ref="C5:F5"/>
    <mergeCell ref="J6:M6"/>
    <mergeCell ref="J7:M7"/>
    <mergeCell ref="P4:P5"/>
    <mergeCell ref="Q4:S4"/>
  </mergeCells>
  <conditionalFormatting sqref="D46:F46">
    <cfRule type="expression" dxfId="25" priority="12">
      <formula>D46="Nein"</formula>
    </cfRule>
    <cfRule type="expression" dxfId="24" priority="13">
      <formula>D46="Ja"</formula>
    </cfRule>
  </conditionalFormatting>
  <conditionalFormatting sqref="K46:M46">
    <cfRule type="expression" dxfId="23" priority="10">
      <formula>K46="Nein"</formula>
    </cfRule>
    <cfRule type="expression" dxfId="22" priority="11">
      <formula>K46="Ja"</formula>
    </cfRule>
  </conditionalFormatting>
  <conditionalFormatting sqref="B29:F32">
    <cfRule type="expression" dxfId="21" priority="7">
      <formula>$B29="x"</formula>
    </cfRule>
  </conditionalFormatting>
  <conditionalFormatting sqref="B15:F23">
    <cfRule type="expression" dxfId="20" priority="20">
      <formula>$C15=MEDIAN($C$15:$C$23)</formula>
    </cfRule>
  </conditionalFormatting>
  <conditionalFormatting sqref="M15:M23">
    <cfRule type="expression" dxfId="19" priority="22">
      <formula>$J15=MEDIAN($J$15:$J$23)</formula>
    </cfRule>
  </conditionalFormatting>
  <conditionalFormatting sqref="I15:L23">
    <cfRule type="expression" dxfId="18" priority="23">
      <formula>$J15=MEDIAN($J$15:$J$23)</formula>
    </cfRule>
  </conditionalFormatting>
  <conditionalFormatting sqref="B29:B32">
    <cfRule type="expression" dxfId="17" priority="5">
      <formula>COUNTA($B$29:$B$32)&gt;1</formula>
    </cfRule>
  </conditionalFormatting>
  <conditionalFormatting sqref="C29:F32">
    <cfRule type="expression" dxfId="16" priority="4">
      <formula>COUNTA($B$29:$B$32)&gt;1</formula>
    </cfRule>
  </conditionalFormatting>
  <conditionalFormatting sqref="I29:M32">
    <cfRule type="expression" dxfId="15" priority="3">
      <formula>$I29="x"</formula>
    </cfRule>
  </conditionalFormatting>
  <conditionalFormatting sqref="I29:I32">
    <cfRule type="expression" dxfId="14" priority="2">
      <formula>COUNTA($I$29:$I$32)&gt;1</formula>
    </cfRule>
  </conditionalFormatting>
  <conditionalFormatting sqref="J29:M32">
    <cfRule type="expression" dxfId="13" priority="1">
      <formula>COUNTA($I$29:$I$32)&gt;1</formula>
    </cfRule>
  </conditionalFormatting>
  <dataValidations count="4">
    <dataValidation type="list" allowBlank="1" showInputMessage="1" showErrorMessage="1" sqref="B29:B32 I29:I32">
      <formula1>"x"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C10">
      <formula1>"S1,S1&amp;S2,S5,S1&amp;S5,S1&amp;S2&amp;S5"</formula1>
    </dataValidation>
    <dataValidation type="list" allowBlank="1" showInputMessage="1" showErrorMessage="1" sqref="E42 L42">
      <formula1>"0,2,4,6"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showGridLines="0" tabSelected="1" zoomScale="70" zoomScaleNormal="70" workbookViewId="0">
      <selection activeCell="C4" sqref="C4:F4"/>
    </sheetView>
  </sheetViews>
  <sheetFormatPr baseColWidth="10" defaultRowHeight="30" customHeight="1" x14ac:dyDescent="0.2"/>
  <cols>
    <col min="1" max="1" width="2.7109375" style="1" customWidth="1"/>
    <col min="2" max="6" width="12.7109375" style="1" customWidth="1"/>
    <col min="7" max="8" width="2.7109375" style="1" customWidth="1"/>
    <col min="9" max="13" width="12.7109375" style="1" customWidth="1"/>
    <col min="14" max="15" width="2.7109375" style="1" customWidth="1"/>
    <col min="16" max="24" width="11.7109375" style="1" customWidth="1"/>
    <col min="25" max="16384" width="11.42578125" style="1"/>
  </cols>
  <sheetData>
    <row r="1" spans="1:22" ht="30" customHeight="1" x14ac:dyDescent="0.2">
      <c r="A1" s="142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P1" s="141" t="s">
        <v>85</v>
      </c>
      <c r="Q1" s="141"/>
      <c r="R1" s="141"/>
      <c r="S1" s="141"/>
      <c r="T1" s="141"/>
      <c r="U1" s="141"/>
      <c r="V1" s="141"/>
    </row>
    <row r="2" spans="1:22" ht="30" customHeight="1" x14ac:dyDescent="0.2">
      <c r="A2" s="145" t="s">
        <v>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22" ht="30" customHeight="1" thickBot="1" x14ac:dyDescent="0.3">
      <c r="A3" s="107"/>
      <c r="B3" s="108" t="s">
        <v>55</v>
      </c>
      <c r="C3" s="109"/>
      <c r="D3" s="109"/>
      <c r="E3" s="109"/>
      <c r="F3" s="109"/>
      <c r="G3" s="109"/>
      <c r="H3" s="109"/>
      <c r="I3" s="108" t="s">
        <v>57</v>
      </c>
      <c r="J3" s="109"/>
      <c r="K3" s="109"/>
      <c r="L3" s="110" t="s">
        <v>78</v>
      </c>
      <c r="M3" s="133">
        <v>0.875</v>
      </c>
      <c r="N3" s="111"/>
      <c r="P3" s="2" t="s">
        <v>53</v>
      </c>
    </row>
    <row r="4" spans="1:22" ht="30" customHeight="1" x14ac:dyDescent="0.25">
      <c r="A4" s="112"/>
      <c r="B4" s="113" t="s">
        <v>22</v>
      </c>
      <c r="C4" s="135" t="s">
        <v>71</v>
      </c>
      <c r="D4" s="135"/>
      <c r="E4" s="135"/>
      <c r="F4" s="135"/>
      <c r="G4" s="114"/>
      <c r="H4" s="114"/>
      <c r="I4" s="114" t="s">
        <v>26</v>
      </c>
      <c r="J4" s="148">
        <v>42826</v>
      </c>
      <c r="K4" s="148"/>
      <c r="L4" s="115" t="s">
        <v>79</v>
      </c>
      <c r="M4" s="133">
        <v>0.97916666666666663</v>
      </c>
      <c r="N4" s="116"/>
      <c r="P4" s="136" t="s">
        <v>10</v>
      </c>
      <c r="Q4" s="138" t="s">
        <v>11</v>
      </c>
      <c r="R4" s="139"/>
      <c r="S4" s="140"/>
      <c r="T4" s="138" t="s">
        <v>12</v>
      </c>
      <c r="U4" s="139"/>
      <c r="V4" s="140"/>
    </row>
    <row r="5" spans="1:22" ht="30" customHeight="1" thickBot="1" x14ac:dyDescent="0.3">
      <c r="A5" s="112"/>
      <c r="B5" s="113" t="s">
        <v>23</v>
      </c>
      <c r="C5" s="134" t="s">
        <v>72</v>
      </c>
      <c r="D5" s="134"/>
      <c r="E5" s="134"/>
      <c r="F5" s="134"/>
      <c r="G5" s="114"/>
      <c r="H5" s="114"/>
      <c r="I5" s="117"/>
      <c r="J5" s="117"/>
      <c r="K5" s="117"/>
      <c r="L5" s="117"/>
      <c r="M5" s="117"/>
      <c r="N5" s="116"/>
      <c r="P5" s="137"/>
      <c r="Q5" s="7" t="s">
        <v>3</v>
      </c>
      <c r="R5" s="5" t="s">
        <v>4</v>
      </c>
      <c r="S5" s="6" t="s">
        <v>5</v>
      </c>
      <c r="T5" s="7" t="s">
        <v>3</v>
      </c>
      <c r="U5" s="5" t="s">
        <v>4</v>
      </c>
      <c r="V5" s="6" t="s">
        <v>5</v>
      </c>
    </row>
    <row r="6" spans="1:22" ht="30" customHeight="1" x14ac:dyDescent="0.25">
      <c r="A6" s="112"/>
      <c r="B6" s="113" t="s">
        <v>24</v>
      </c>
      <c r="C6" s="130" t="s">
        <v>73</v>
      </c>
      <c r="D6" s="118"/>
      <c r="E6" s="119" t="s">
        <v>27</v>
      </c>
      <c r="F6" s="130" t="s">
        <v>74</v>
      </c>
      <c r="G6" s="114"/>
      <c r="H6" s="114"/>
      <c r="I6" s="120" t="s">
        <v>83</v>
      </c>
      <c r="J6" s="135" t="s">
        <v>84</v>
      </c>
      <c r="K6" s="135"/>
      <c r="L6" s="135"/>
      <c r="M6" s="135"/>
      <c r="N6" s="116"/>
      <c r="P6" s="24" t="s">
        <v>6</v>
      </c>
      <c r="Q6" s="25">
        <v>30</v>
      </c>
      <c r="R6" s="26">
        <v>25</v>
      </c>
      <c r="S6" s="27">
        <v>20</v>
      </c>
      <c r="T6" s="25">
        <v>35</v>
      </c>
      <c r="U6" s="26">
        <v>30</v>
      </c>
      <c r="V6" s="27">
        <v>25</v>
      </c>
    </row>
    <row r="7" spans="1:22" ht="30" customHeight="1" x14ac:dyDescent="0.25">
      <c r="A7" s="112"/>
      <c r="B7" s="121"/>
      <c r="C7" s="121"/>
      <c r="D7" s="121"/>
      <c r="E7" s="113" t="s">
        <v>25</v>
      </c>
      <c r="F7" s="131" t="s">
        <v>8</v>
      </c>
      <c r="G7" s="114"/>
      <c r="H7" s="114"/>
      <c r="I7" s="120" t="s">
        <v>36</v>
      </c>
      <c r="J7" s="135" t="s">
        <v>67</v>
      </c>
      <c r="K7" s="135"/>
      <c r="L7" s="135"/>
      <c r="M7" s="135"/>
      <c r="N7" s="116"/>
      <c r="P7" s="28" t="s">
        <v>7</v>
      </c>
      <c r="Q7" s="29">
        <v>35</v>
      </c>
      <c r="R7" s="17">
        <v>30</v>
      </c>
      <c r="S7" s="30">
        <v>25</v>
      </c>
      <c r="T7" s="29">
        <v>40</v>
      </c>
      <c r="U7" s="17">
        <v>35</v>
      </c>
      <c r="V7" s="30">
        <v>30</v>
      </c>
    </row>
    <row r="8" spans="1:22" ht="30" customHeight="1" x14ac:dyDescent="0.25">
      <c r="A8" s="112"/>
      <c r="B8" s="122" t="s">
        <v>56</v>
      </c>
      <c r="C8" s="121"/>
      <c r="D8" s="121"/>
      <c r="E8" s="121"/>
      <c r="F8" s="123"/>
      <c r="G8" s="114"/>
      <c r="H8" s="114"/>
      <c r="I8" s="124" t="s">
        <v>38</v>
      </c>
      <c r="J8" s="135" t="s">
        <v>76</v>
      </c>
      <c r="K8" s="135"/>
      <c r="L8" s="135"/>
      <c r="M8" s="135"/>
      <c r="N8" s="116"/>
      <c r="P8" s="28" t="s">
        <v>8</v>
      </c>
      <c r="Q8" s="29">
        <v>40</v>
      </c>
      <c r="R8" s="17">
        <v>35</v>
      </c>
      <c r="S8" s="30">
        <v>30</v>
      </c>
      <c r="T8" s="29">
        <v>45</v>
      </c>
      <c r="U8" s="17">
        <v>40</v>
      </c>
      <c r="V8" s="30">
        <v>35</v>
      </c>
    </row>
    <row r="9" spans="1:22" ht="30" customHeight="1" thickBot="1" x14ac:dyDescent="0.3">
      <c r="A9" s="112"/>
      <c r="B9" s="124" t="s">
        <v>37</v>
      </c>
      <c r="C9" s="135" t="s">
        <v>75</v>
      </c>
      <c r="D9" s="135"/>
      <c r="E9" s="135"/>
      <c r="F9" s="135"/>
      <c r="G9" s="114"/>
      <c r="H9" s="114"/>
      <c r="I9" s="163" t="s">
        <v>39</v>
      </c>
      <c r="J9" s="134" t="s">
        <v>77</v>
      </c>
      <c r="K9" s="134"/>
      <c r="L9" s="134"/>
      <c r="M9" s="134"/>
      <c r="N9" s="116"/>
      <c r="P9" s="31" t="s">
        <v>9</v>
      </c>
      <c r="Q9" s="32">
        <v>45</v>
      </c>
      <c r="R9" s="33">
        <v>40</v>
      </c>
      <c r="S9" s="34">
        <v>35</v>
      </c>
      <c r="T9" s="32">
        <v>50</v>
      </c>
      <c r="U9" s="33">
        <v>45</v>
      </c>
      <c r="V9" s="34">
        <v>40</v>
      </c>
    </row>
    <row r="10" spans="1:22" ht="30" customHeight="1" x14ac:dyDescent="0.25">
      <c r="A10" s="112"/>
      <c r="B10" s="113" t="s">
        <v>35</v>
      </c>
      <c r="C10" s="130" t="s">
        <v>68</v>
      </c>
      <c r="D10" s="121"/>
      <c r="E10" s="113" t="s">
        <v>32</v>
      </c>
      <c r="F10" s="132">
        <v>31413</v>
      </c>
      <c r="G10" s="125"/>
      <c r="H10" s="114"/>
      <c r="I10" s="163"/>
      <c r="J10" s="134" t="s">
        <v>81</v>
      </c>
      <c r="K10" s="134"/>
      <c r="L10" s="134"/>
      <c r="M10" s="134"/>
      <c r="N10" s="116"/>
    </row>
    <row r="11" spans="1:22" ht="5.0999999999999996" customHeight="1" x14ac:dyDescent="0.2">
      <c r="A11" s="126"/>
      <c r="B11" s="127"/>
      <c r="C11" s="127"/>
      <c r="D11" s="127"/>
      <c r="E11" s="127"/>
      <c r="F11" s="127"/>
      <c r="G11" s="127"/>
      <c r="H11" s="127"/>
      <c r="I11" s="128"/>
      <c r="J11" s="127"/>
      <c r="K11" s="127"/>
      <c r="L11" s="127"/>
      <c r="M11" s="127"/>
      <c r="N11" s="129"/>
    </row>
    <row r="12" spans="1:22" ht="35.1" customHeight="1" x14ac:dyDescent="0.2">
      <c r="A12" s="157" t="s">
        <v>2</v>
      </c>
      <c r="B12" s="158"/>
      <c r="C12" s="158"/>
      <c r="D12" s="158"/>
      <c r="E12" s="158"/>
      <c r="F12" s="158"/>
      <c r="G12" s="159"/>
      <c r="H12" s="160" t="s">
        <v>82</v>
      </c>
      <c r="I12" s="161"/>
      <c r="J12" s="161"/>
      <c r="K12" s="161"/>
      <c r="L12" s="161"/>
      <c r="M12" s="161"/>
      <c r="N12" s="162"/>
    </row>
    <row r="13" spans="1:22" ht="30" customHeight="1" thickBot="1" x14ac:dyDescent="0.25">
      <c r="A13" s="47"/>
      <c r="B13" s="150" t="s">
        <v>58</v>
      </c>
      <c r="C13" s="150"/>
      <c r="D13" s="150"/>
      <c r="E13" s="150"/>
      <c r="F13" s="150"/>
      <c r="G13" s="49"/>
      <c r="H13" s="15"/>
      <c r="I13" s="154" t="str">
        <f>B13</f>
        <v>B) Messung 10-Sekunden-Leq</v>
      </c>
      <c r="J13" s="154"/>
      <c r="K13" s="154"/>
      <c r="L13" s="154"/>
      <c r="M13" s="154"/>
      <c r="N13" s="13"/>
      <c r="P13" s="2" t="s">
        <v>54</v>
      </c>
    </row>
    <row r="14" spans="1:22" ht="30" customHeight="1" x14ac:dyDescent="0.2">
      <c r="A14" s="47"/>
      <c r="B14" s="3" t="s">
        <v>0</v>
      </c>
      <c r="C14" s="4" t="s">
        <v>45</v>
      </c>
      <c r="D14" s="4" t="s">
        <v>44</v>
      </c>
      <c r="E14" s="4" t="s">
        <v>43</v>
      </c>
      <c r="F14" s="3" t="s">
        <v>1</v>
      </c>
      <c r="G14" s="49"/>
      <c r="H14" s="15"/>
      <c r="I14" s="3" t="s">
        <v>0</v>
      </c>
      <c r="J14" s="4" t="s">
        <v>45</v>
      </c>
      <c r="K14" s="4" t="s">
        <v>44</v>
      </c>
      <c r="L14" s="4" t="s">
        <v>43</v>
      </c>
      <c r="M14" s="3" t="s">
        <v>1</v>
      </c>
      <c r="N14" s="13"/>
      <c r="P14" s="136" t="s">
        <v>10</v>
      </c>
      <c r="Q14" s="138" t="s">
        <v>11</v>
      </c>
      <c r="R14" s="139"/>
      <c r="S14" s="140"/>
      <c r="T14" s="138" t="s">
        <v>12</v>
      </c>
      <c r="U14" s="139"/>
      <c r="V14" s="140"/>
    </row>
    <row r="15" spans="1:22" ht="30" customHeight="1" thickBot="1" x14ac:dyDescent="0.25">
      <c r="A15" s="47"/>
      <c r="B15" s="59">
        <v>0.90625</v>
      </c>
      <c r="C15" s="60">
        <v>37.9</v>
      </c>
      <c r="D15" s="60">
        <v>50.2</v>
      </c>
      <c r="E15" s="99">
        <f>IF(OR(C15="",D15=""),"",D15-C15)</f>
        <v>12.300000000000004</v>
      </c>
      <c r="F15" s="97">
        <f t="shared" ref="F15:F23" si="0">IF(C15="","",IF(COUNT($C$15:$C$23)=0,"",RANK($C15,$C$15:$C$23,0)))</f>
        <v>4</v>
      </c>
      <c r="G15" s="49"/>
      <c r="H15" s="15"/>
      <c r="I15" s="59">
        <v>0.90625</v>
      </c>
      <c r="J15" s="60">
        <v>32.4</v>
      </c>
      <c r="K15" s="60">
        <v>37.1</v>
      </c>
      <c r="L15" s="99">
        <f>IF(OR(J15="",K15=""),"",K15-J15)</f>
        <v>4.7000000000000028</v>
      </c>
      <c r="M15" s="97">
        <f t="shared" ref="M15:M23" si="1">IF(J15="","",IF(COUNT($J$15:$J$23)=0,"",RANK($J15,$J$15:$J$23,0)))</f>
        <v>1</v>
      </c>
      <c r="N15" s="13"/>
      <c r="P15" s="137"/>
      <c r="Q15" s="7" t="s">
        <v>3</v>
      </c>
      <c r="R15" s="5" t="s">
        <v>4</v>
      </c>
      <c r="S15" s="6" t="s">
        <v>5</v>
      </c>
      <c r="T15" s="7" t="s">
        <v>3</v>
      </c>
      <c r="U15" s="5" t="s">
        <v>4</v>
      </c>
      <c r="V15" s="6" t="s">
        <v>5</v>
      </c>
    </row>
    <row r="16" spans="1:22" ht="30" customHeight="1" x14ac:dyDescent="0.2">
      <c r="A16" s="47"/>
      <c r="B16" s="59">
        <v>0.90972222222222221</v>
      </c>
      <c r="C16" s="60">
        <v>32.4</v>
      </c>
      <c r="D16" s="60">
        <v>44.6</v>
      </c>
      <c r="E16" s="99">
        <f t="shared" ref="E16:E23" si="2">IF(OR(C16="",D16=""),"",D16-C16)</f>
        <v>12.200000000000003</v>
      </c>
      <c r="F16" s="97">
        <f t="shared" si="0"/>
        <v>9</v>
      </c>
      <c r="G16" s="49"/>
      <c r="H16" s="15"/>
      <c r="I16" s="59">
        <v>0.90972222222222221</v>
      </c>
      <c r="J16" s="60">
        <v>29.8</v>
      </c>
      <c r="K16" s="60">
        <v>35.6</v>
      </c>
      <c r="L16" s="99">
        <f t="shared" ref="L16:L23" si="3">IF(OR(J16="",K16=""),"",K16-J16)</f>
        <v>5.8000000000000007</v>
      </c>
      <c r="M16" s="97">
        <f t="shared" si="1"/>
        <v>5</v>
      </c>
      <c r="N16" s="13"/>
      <c r="P16" s="35" t="s">
        <v>6</v>
      </c>
      <c r="Q16" s="36">
        <v>40</v>
      </c>
      <c r="R16" s="37">
        <v>35</v>
      </c>
      <c r="S16" s="38">
        <v>30</v>
      </c>
      <c r="T16" s="36">
        <v>45</v>
      </c>
      <c r="U16" s="37">
        <v>40</v>
      </c>
      <c r="V16" s="38">
        <v>35</v>
      </c>
    </row>
    <row r="17" spans="1:22" ht="30" customHeight="1" x14ac:dyDescent="0.2">
      <c r="A17" s="47"/>
      <c r="B17" s="59">
        <v>0.91111111111111109</v>
      </c>
      <c r="C17" s="60">
        <v>33.6</v>
      </c>
      <c r="D17" s="60">
        <v>43.2</v>
      </c>
      <c r="E17" s="99">
        <f t="shared" si="2"/>
        <v>9.6000000000000014</v>
      </c>
      <c r="F17" s="97">
        <f t="shared" si="0"/>
        <v>8</v>
      </c>
      <c r="G17" s="49"/>
      <c r="H17" s="15"/>
      <c r="I17" s="59">
        <v>0.91111111111111109</v>
      </c>
      <c r="J17" s="60">
        <v>31.1</v>
      </c>
      <c r="K17" s="60">
        <v>37.1</v>
      </c>
      <c r="L17" s="99">
        <f t="shared" si="3"/>
        <v>6</v>
      </c>
      <c r="M17" s="97">
        <f t="shared" si="1"/>
        <v>3</v>
      </c>
      <c r="N17" s="13"/>
      <c r="P17" s="39" t="s">
        <v>7</v>
      </c>
      <c r="Q17" s="40">
        <v>45</v>
      </c>
      <c r="R17" s="41">
        <v>40</v>
      </c>
      <c r="S17" s="42">
        <v>35</v>
      </c>
      <c r="T17" s="40">
        <v>50</v>
      </c>
      <c r="U17" s="41">
        <v>45</v>
      </c>
      <c r="V17" s="42">
        <v>40</v>
      </c>
    </row>
    <row r="18" spans="1:22" ht="30" customHeight="1" x14ac:dyDescent="0.2">
      <c r="A18" s="47"/>
      <c r="B18" s="59">
        <v>0.9145833333333333</v>
      </c>
      <c r="C18" s="60">
        <v>39.799999999999997</v>
      </c>
      <c r="D18" s="60">
        <v>50.6</v>
      </c>
      <c r="E18" s="99">
        <f t="shared" si="2"/>
        <v>10.800000000000004</v>
      </c>
      <c r="F18" s="97">
        <f t="shared" si="0"/>
        <v>3</v>
      </c>
      <c r="G18" s="49"/>
      <c r="H18" s="15"/>
      <c r="I18" s="59">
        <v>0.9145833333333333</v>
      </c>
      <c r="J18" s="60">
        <v>30.2</v>
      </c>
      <c r="K18" s="60">
        <v>36.700000000000003</v>
      </c>
      <c r="L18" s="99">
        <f t="shared" si="3"/>
        <v>6.5000000000000036</v>
      </c>
      <c r="M18" s="97">
        <f t="shared" si="1"/>
        <v>4</v>
      </c>
      <c r="N18" s="13"/>
      <c r="P18" s="39" t="s">
        <v>8</v>
      </c>
      <c r="Q18" s="40">
        <v>50</v>
      </c>
      <c r="R18" s="41">
        <v>45</v>
      </c>
      <c r="S18" s="42">
        <v>40</v>
      </c>
      <c r="T18" s="40">
        <v>55</v>
      </c>
      <c r="U18" s="41">
        <v>50</v>
      </c>
      <c r="V18" s="42">
        <v>45</v>
      </c>
    </row>
    <row r="19" spans="1:22" ht="30" customHeight="1" thickBot="1" x14ac:dyDescent="0.25">
      <c r="A19" s="47"/>
      <c r="B19" s="59">
        <v>0.91736111111111107</v>
      </c>
      <c r="C19" s="60">
        <v>40.6</v>
      </c>
      <c r="D19" s="60">
        <v>52.7</v>
      </c>
      <c r="E19" s="99">
        <f t="shared" si="2"/>
        <v>12.100000000000001</v>
      </c>
      <c r="F19" s="97">
        <f t="shared" si="0"/>
        <v>1</v>
      </c>
      <c r="G19" s="49"/>
      <c r="H19" s="15"/>
      <c r="I19" s="59">
        <v>0.91736111111111107</v>
      </c>
      <c r="J19" s="60">
        <v>31.7</v>
      </c>
      <c r="K19" s="60">
        <v>39.5</v>
      </c>
      <c r="L19" s="99">
        <f t="shared" si="3"/>
        <v>7.8000000000000007</v>
      </c>
      <c r="M19" s="97">
        <f t="shared" si="1"/>
        <v>2</v>
      </c>
      <c r="N19" s="13"/>
      <c r="P19" s="43" t="s">
        <v>9</v>
      </c>
      <c r="Q19" s="44">
        <v>55</v>
      </c>
      <c r="R19" s="45">
        <v>50</v>
      </c>
      <c r="S19" s="46">
        <v>45</v>
      </c>
      <c r="T19" s="44">
        <v>60</v>
      </c>
      <c r="U19" s="45">
        <v>55</v>
      </c>
      <c r="V19" s="46">
        <v>50</v>
      </c>
    </row>
    <row r="20" spans="1:22" ht="30" customHeight="1" x14ac:dyDescent="0.2">
      <c r="A20" s="47"/>
      <c r="B20" s="59">
        <v>0.92847222222222225</v>
      </c>
      <c r="C20" s="60">
        <v>40.1</v>
      </c>
      <c r="D20" s="60">
        <v>49.8</v>
      </c>
      <c r="E20" s="99">
        <f t="shared" si="2"/>
        <v>9.6999999999999957</v>
      </c>
      <c r="F20" s="97">
        <f t="shared" si="0"/>
        <v>2</v>
      </c>
      <c r="G20" s="49"/>
      <c r="H20" s="15"/>
      <c r="I20" s="59"/>
      <c r="J20" s="60"/>
      <c r="K20" s="60"/>
      <c r="L20" s="99" t="str">
        <f t="shared" si="3"/>
        <v/>
      </c>
      <c r="M20" s="97" t="str">
        <f t="shared" si="1"/>
        <v/>
      </c>
      <c r="N20" s="13"/>
    </row>
    <row r="21" spans="1:22" ht="30" customHeight="1" x14ac:dyDescent="0.2">
      <c r="A21" s="47"/>
      <c r="B21" s="59">
        <v>0.93055555555555547</v>
      </c>
      <c r="C21" s="60">
        <v>35.6</v>
      </c>
      <c r="D21" s="60">
        <v>47.3</v>
      </c>
      <c r="E21" s="99">
        <f t="shared" si="2"/>
        <v>11.699999999999996</v>
      </c>
      <c r="F21" s="97">
        <f t="shared" si="0"/>
        <v>6</v>
      </c>
      <c r="G21" s="49"/>
      <c r="H21" s="15"/>
      <c r="I21" s="59"/>
      <c r="J21" s="60"/>
      <c r="K21" s="60"/>
      <c r="L21" s="99" t="str">
        <f t="shared" si="3"/>
        <v/>
      </c>
      <c r="M21" s="97" t="str">
        <f t="shared" si="1"/>
        <v/>
      </c>
      <c r="N21" s="13"/>
    </row>
    <row r="22" spans="1:22" ht="30" customHeight="1" x14ac:dyDescent="0.2">
      <c r="A22" s="47"/>
      <c r="B22" s="59">
        <v>0.93402777777777779</v>
      </c>
      <c r="C22" s="60">
        <v>37.799999999999997</v>
      </c>
      <c r="D22" s="60">
        <v>50.1</v>
      </c>
      <c r="E22" s="99">
        <f t="shared" si="2"/>
        <v>12.300000000000004</v>
      </c>
      <c r="F22" s="97">
        <f t="shared" si="0"/>
        <v>5</v>
      </c>
      <c r="G22" s="49"/>
      <c r="H22" s="15"/>
      <c r="I22" s="59"/>
      <c r="J22" s="60"/>
      <c r="K22" s="60"/>
      <c r="L22" s="99" t="str">
        <f t="shared" si="3"/>
        <v/>
      </c>
      <c r="M22" s="97" t="str">
        <f t="shared" si="1"/>
        <v/>
      </c>
      <c r="N22" s="13"/>
    </row>
    <row r="23" spans="1:22" ht="30" customHeight="1" x14ac:dyDescent="0.2">
      <c r="A23" s="47"/>
      <c r="B23" s="59">
        <v>0.93472222222222223</v>
      </c>
      <c r="C23" s="60">
        <v>33.9</v>
      </c>
      <c r="D23" s="60">
        <v>41.7</v>
      </c>
      <c r="E23" s="99">
        <f t="shared" si="2"/>
        <v>7.8000000000000043</v>
      </c>
      <c r="F23" s="97">
        <f t="shared" si="0"/>
        <v>7</v>
      </c>
      <c r="G23" s="49"/>
      <c r="H23" s="15"/>
      <c r="I23" s="59"/>
      <c r="J23" s="60"/>
      <c r="K23" s="60"/>
      <c r="L23" s="99" t="str">
        <f t="shared" si="3"/>
        <v/>
      </c>
      <c r="M23" s="97" t="str">
        <f t="shared" si="1"/>
        <v/>
      </c>
      <c r="N23" s="13"/>
    </row>
    <row r="24" spans="1:22" ht="5.0999999999999996" customHeight="1" x14ac:dyDescent="0.2">
      <c r="A24" s="47"/>
      <c r="B24" s="65"/>
      <c r="C24" s="65"/>
      <c r="D24" s="65"/>
      <c r="E24" s="65"/>
      <c r="F24" s="65"/>
      <c r="G24" s="49"/>
      <c r="H24" s="15"/>
      <c r="I24" s="66"/>
      <c r="J24" s="66"/>
      <c r="K24" s="66"/>
      <c r="L24" s="66"/>
      <c r="M24" s="66"/>
      <c r="N24" s="13"/>
    </row>
    <row r="25" spans="1:22" ht="30" customHeight="1" x14ac:dyDescent="0.2">
      <c r="A25" s="47"/>
      <c r="B25" s="54" t="s">
        <v>69</v>
      </c>
      <c r="C25" s="98">
        <f>IF(COUNT(C15:C23)=0,"",MAX(C15:C23)-MIN(C15:C23))</f>
        <v>8.2000000000000028</v>
      </c>
      <c r="D25" s="62" t="s">
        <v>33</v>
      </c>
      <c r="E25" s="99">
        <f>IF(COUNT(C15:C23)=0,"",VLOOKUP(MEDIAN(C15:C23),C15:E23,3,FALSE))</f>
        <v>12.300000000000004</v>
      </c>
      <c r="F25" s="54"/>
      <c r="G25" s="49"/>
      <c r="H25" s="15"/>
      <c r="I25" s="20" t="str">
        <f>B25</f>
        <v>Max - Min:</v>
      </c>
      <c r="J25" s="98">
        <f>IF(COUNT(J15:J23)=0,"",MAX(J15:J23)-MIN(J15:J23))</f>
        <v>2.5999999999999979</v>
      </c>
      <c r="K25" s="63" t="s">
        <v>33</v>
      </c>
      <c r="L25" s="98">
        <f>IF(COUNT(J15:J23)=0,"",VLOOKUP(MEDIAN(J15:J23),J15:L23,3,FALSE))</f>
        <v>6</v>
      </c>
      <c r="M25" s="20"/>
      <c r="N25" s="13"/>
    </row>
    <row r="26" spans="1:22" ht="5.0999999999999996" customHeight="1" x14ac:dyDescent="0.2">
      <c r="A26" s="47"/>
      <c r="B26" s="54"/>
      <c r="C26" s="54"/>
      <c r="D26" s="54"/>
      <c r="E26" s="54"/>
      <c r="F26" s="54"/>
      <c r="G26" s="49"/>
      <c r="H26" s="15"/>
      <c r="I26" s="20"/>
      <c r="J26" s="20"/>
      <c r="K26" s="20"/>
      <c r="L26" s="20"/>
      <c r="M26" s="20"/>
      <c r="N26" s="13"/>
    </row>
    <row r="27" spans="1:22" ht="30" customHeight="1" x14ac:dyDescent="0.2">
      <c r="A27" s="47"/>
      <c r="B27" s="52" t="s">
        <v>59</v>
      </c>
      <c r="C27" s="53"/>
      <c r="D27" s="53"/>
      <c r="E27" s="53"/>
      <c r="F27" s="53"/>
      <c r="G27" s="49"/>
      <c r="H27" s="15"/>
      <c r="I27" s="18" t="str">
        <f>B27</f>
        <v>C1) Grundgeräuschpegelkorrektur aufgrund Hörbarkeit:</v>
      </c>
      <c r="J27" s="19"/>
      <c r="K27" s="19"/>
      <c r="L27" s="19"/>
      <c r="M27" s="19"/>
      <c r="N27" s="13"/>
    </row>
    <row r="28" spans="1:22" ht="30" customHeight="1" x14ac:dyDescent="0.2">
      <c r="A28" s="47"/>
      <c r="B28" s="3" t="s">
        <v>17</v>
      </c>
      <c r="C28" s="151" t="s">
        <v>18</v>
      </c>
      <c r="D28" s="152"/>
      <c r="E28" s="153"/>
      <c r="F28" s="8" t="s">
        <v>19</v>
      </c>
      <c r="G28" s="49"/>
      <c r="H28" s="15"/>
      <c r="I28" s="3" t="s">
        <v>17</v>
      </c>
      <c r="J28" s="151" t="s">
        <v>18</v>
      </c>
      <c r="K28" s="152"/>
      <c r="L28" s="153"/>
      <c r="M28" s="8" t="s">
        <v>19</v>
      </c>
      <c r="N28" s="13"/>
    </row>
    <row r="29" spans="1:22" ht="30" customHeight="1" x14ac:dyDescent="0.2">
      <c r="A29" s="47"/>
      <c r="B29" s="57"/>
      <c r="C29" s="149" t="s">
        <v>13</v>
      </c>
      <c r="D29" s="149"/>
      <c r="E29" s="149"/>
      <c r="F29" s="61">
        <v>0</v>
      </c>
      <c r="G29" s="49"/>
      <c r="H29" s="15"/>
      <c r="I29" s="57"/>
      <c r="J29" s="149" t="s">
        <v>13</v>
      </c>
      <c r="K29" s="149"/>
      <c r="L29" s="149"/>
      <c r="M29" s="61">
        <v>0</v>
      </c>
      <c r="N29" s="13"/>
    </row>
    <row r="30" spans="1:22" ht="30" customHeight="1" x14ac:dyDescent="0.2">
      <c r="A30" s="47"/>
      <c r="B30" s="57" t="s">
        <v>28</v>
      </c>
      <c r="C30" s="149" t="s">
        <v>14</v>
      </c>
      <c r="D30" s="149"/>
      <c r="E30" s="149"/>
      <c r="F30" s="61">
        <v>-1</v>
      </c>
      <c r="G30" s="49"/>
      <c r="H30" s="15"/>
      <c r="I30" s="57" t="s">
        <v>28</v>
      </c>
      <c r="J30" s="149" t="s">
        <v>14</v>
      </c>
      <c r="K30" s="149"/>
      <c r="L30" s="149"/>
      <c r="M30" s="61">
        <v>-1</v>
      </c>
      <c r="N30" s="13"/>
    </row>
    <row r="31" spans="1:22" ht="30" customHeight="1" x14ac:dyDescent="0.2">
      <c r="A31" s="47"/>
      <c r="B31" s="57"/>
      <c r="C31" s="149" t="s">
        <v>15</v>
      </c>
      <c r="D31" s="149"/>
      <c r="E31" s="149"/>
      <c r="F31" s="61">
        <v>-2</v>
      </c>
      <c r="G31" s="49"/>
      <c r="H31" s="15"/>
      <c r="I31" s="57"/>
      <c r="J31" s="149" t="s">
        <v>15</v>
      </c>
      <c r="K31" s="149"/>
      <c r="L31" s="149"/>
      <c r="M31" s="61">
        <v>-2</v>
      </c>
      <c r="N31" s="13"/>
    </row>
    <row r="32" spans="1:22" ht="30" customHeight="1" x14ac:dyDescent="0.2">
      <c r="A32" s="47"/>
      <c r="B32" s="57"/>
      <c r="C32" s="149" t="s">
        <v>16</v>
      </c>
      <c r="D32" s="149"/>
      <c r="E32" s="149"/>
      <c r="F32" s="61">
        <v>-3</v>
      </c>
      <c r="G32" s="49"/>
      <c r="H32" s="15"/>
      <c r="I32" s="57"/>
      <c r="J32" s="149" t="s">
        <v>16</v>
      </c>
      <c r="K32" s="149"/>
      <c r="L32" s="149"/>
      <c r="M32" s="61">
        <v>-3</v>
      </c>
      <c r="N32" s="13"/>
    </row>
    <row r="33" spans="1:14" ht="30" customHeight="1" x14ac:dyDescent="0.2">
      <c r="A33" s="47"/>
      <c r="B33" s="67" t="s">
        <v>60</v>
      </c>
      <c r="C33" s="67"/>
      <c r="D33" s="67"/>
      <c r="E33" s="67"/>
      <c r="F33" s="67"/>
      <c r="G33" s="49"/>
      <c r="H33" s="15"/>
      <c r="I33" s="68" t="str">
        <f>B33</f>
        <v>C2) Grundgeräuschpegelkorrektur aufgrund Messung</v>
      </c>
      <c r="J33" s="68"/>
      <c r="K33" s="68"/>
      <c r="L33" s="68"/>
      <c r="M33" s="12"/>
      <c r="N33" s="13"/>
    </row>
    <row r="34" spans="1:14" ht="30" customHeight="1" x14ac:dyDescent="0.2">
      <c r="A34" s="47"/>
      <c r="B34" s="3" t="s">
        <v>47</v>
      </c>
      <c r="C34" s="64" t="s">
        <v>34</v>
      </c>
      <c r="D34" s="4" t="s">
        <v>40</v>
      </c>
      <c r="E34" s="4" t="s">
        <v>41</v>
      </c>
      <c r="F34" s="8" t="s">
        <v>19</v>
      </c>
      <c r="G34" s="49"/>
      <c r="H34" s="15"/>
      <c r="I34" s="3" t="s">
        <v>47</v>
      </c>
      <c r="J34" s="64" t="s">
        <v>34</v>
      </c>
      <c r="K34" s="4" t="s">
        <v>40</v>
      </c>
      <c r="L34" s="4" t="s">
        <v>41</v>
      </c>
      <c r="M34" s="8" t="s">
        <v>19</v>
      </c>
      <c r="N34" s="13"/>
    </row>
    <row r="35" spans="1:14" ht="30" customHeight="1" x14ac:dyDescent="0.2">
      <c r="A35" s="47"/>
      <c r="B35" s="59">
        <v>0.90625</v>
      </c>
      <c r="C35" s="57">
        <v>10</v>
      </c>
      <c r="D35" s="60">
        <v>31.7</v>
      </c>
      <c r="E35" s="60">
        <v>43.3</v>
      </c>
      <c r="F35" s="99">
        <f>IF(OR(COUNT(C15:C23)=0,D35=""),"",IF(ISERROR(VLOOKUP(MEDIAN(C15:C23),C15:C23,1,FALSE)),"",10*LOG(10^(0.1*VLOOKUP(MEDIAN(C15:C23),C15:C23,1,FALSE))-10^(0.1*D35)))-VLOOKUP(MEDIAN(C15:C23),C15:C23,1,FALSE))</f>
        <v>-1.2232400123321909</v>
      </c>
      <c r="G35" s="49"/>
      <c r="H35" s="15"/>
      <c r="I35" s="59">
        <v>0.91736111111111107</v>
      </c>
      <c r="J35" s="57">
        <v>20</v>
      </c>
      <c r="K35" s="60">
        <v>23.8</v>
      </c>
      <c r="L35" s="60">
        <v>34.1</v>
      </c>
      <c r="M35" s="99">
        <f>IF(OR(COUNT(J15:J23)=0,K35=""),"",IF(ISERROR(VLOOKUP(MEDIAN(J15:J23),J15:J23,1,FALSE)),"",10*LOG(10^(0.1*VLOOKUP(MEDIAN(J15:J23),J15:J23,1,FALSE))-10^(0.1*K35)))-VLOOKUP(MEDIAN(J15:J23),J15:J23,1,FALSE))</f>
        <v>-0.89486964663914748</v>
      </c>
      <c r="N35" s="13"/>
    </row>
    <row r="36" spans="1:14" ht="30" customHeight="1" x14ac:dyDescent="0.2">
      <c r="A36" s="47"/>
      <c r="B36" s="69" t="s">
        <v>61</v>
      </c>
      <c r="C36" s="69"/>
      <c r="D36" s="69"/>
      <c r="E36" s="49"/>
      <c r="F36" s="82" t="s">
        <v>51</v>
      </c>
      <c r="G36" s="49"/>
      <c r="H36" s="15"/>
      <c r="I36" s="70" t="s">
        <v>42</v>
      </c>
      <c r="J36" s="70"/>
      <c r="K36" s="70"/>
      <c r="L36" s="12"/>
      <c r="M36" s="83" t="s">
        <v>51</v>
      </c>
      <c r="N36" s="13"/>
    </row>
    <row r="37" spans="1:14" ht="30" customHeight="1" x14ac:dyDescent="0.2">
      <c r="A37" s="47"/>
      <c r="B37" s="62"/>
      <c r="C37" s="95" t="s">
        <v>49</v>
      </c>
      <c r="D37" s="96" t="s">
        <v>50</v>
      </c>
      <c r="E37" s="73"/>
      <c r="F37" s="4" t="s">
        <v>46</v>
      </c>
      <c r="G37" s="49"/>
      <c r="H37" s="15"/>
      <c r="I37" s="63"/>
      <c r="J37" s="95" t="s">
        <v>49</v>
      </c>
      <c r="K37" s="96" t="s">
        <v>50</v>
      </c>
      <c r="L37" s="87"/>
      <c r="M37" s="4" t="s">
        <v>46</v>
      </c>
      <c r="N37" s="13"/>
    </row>
    <row r="38" spans="1:14" ht="30" customHeight="1" x14ac:dyDescent="0.2">
      <c r="A38" s="47"/>
      <c r="B38" s="71" t="s">
        <v>33</v>
      </c>
      <c r="C38" s="100">
        <f>IF(E25="","",E25)</f>
        <v>12.300000000000004</v>
      </c>
      <c r="D38" s="101">
        <f>IF(OR(D35="",E35=""),"",IF(ISERROR(VLOOKUP(MEDIAN(C15:C23),C15:E23,2,FALSE)),"",(10*LOG(10^(0.1*VLOOKUP(MEDIAN(C15:C23),C15:E23,2,FALSE))-10^(0.1*E35))-10*LOG(10^(0.1*MEDIAN(C15:C23))-10^(0.1*D35)))))</f>
        <v>12.505391285850273</v>
      </c>
      <c r="E38" s="74" t="s">
        <v>48</v>
      </c>
      <c r="F38" s="99">
        <f>IF(AND(C38="",D38=""),"",IF(D38="",IF(C38&lt;=12,0,3),IF(D38&lt;=12,0,3)))</f>
        <v>3</v>
      </c>
      <c r="G38" s="49"/>
      <c r="H38" s="15"/>
      <c r="I38" s="85" t="s">
        <v>33</v>
      </c>
      <c r="J38" s="100">
        <f>IF(L25="","",L25)</f>
        <v>6</v>
      </c>
      <c r="K38" s="101">
        <f>IF(OR(K35="",L35=""),"",IF(ISERROR(VLOOKUP(MEDIAN(J15:J23),J15:L23,2,FALSE)),"",(10*LOG(10^(0.1*VLOOKUP(MEDIAN(J15:J23),J15:L23,2,FALSE))-10^(0.1*L35))-10*LOG(10^(0.1*MEDIAN(J15:J23))-10^(0.1*K35)))))</f>
        <v>3.8742452473561535</v>
      </c>
      <c r="L38" s="88" t="s">
        <v>48</v>
      </c>
      <c r="M38" s="99">
        <f>IF(AND(J38="",K38=""),"",IF(K38="",IF(J38&lt;=12,0,3),IF(K38&lt;=12,0,3)))</f>
        <v>0</v>
      </c>
      <c r="N38" s="13"/>
    </row>
    <row r="39" spans="1:14" s="81" customFormat="1" ht="15" customHeight="1" x14ac:dyDescent="0.2">
      <c r="A39" s="75"/>
      <c r="B39" s="76"/>
      <c r="C39" s="77" t="s">
        <v>63</v>
      </c>
      <c r="D39" s="77" t="s">
        <v>64</v>
      </c>
      <c r="E39" s="77"/>
      <c r="F39" s="77" t="s">
        <v>65</v>
      </c>
      <c r="G39" s="78"/>
      <c r="H39" s="79"/>
      <c r="I39" s="84"/>
      <c r="J39" s="86" t="s">
        <v>63</v>
      </c>
      <c r="K39" s="86" t="s">
        <v>64</v>
      </c>
      <c r="L39" s="86"/>
      <c r="M39" s="86" t="s">
        <v>65</v>
      </c>
      <c r="N39" s="80"/>
    </row>
    <row r="40" spans="1:14" ht="30" customHeight="1" x14ac:dyDescent="0.2">
      <c r="A40" s="47"/>
      <c r="B40" s="48" t="s">
        <v>80</v>
      </c>
      <c r="C40" s="49"/>
      <c r="D40" s="49"/>
      <c r="E40" s="49"/>
      <c r="F40" s="49"/>
      <c r="G40" s="49"/>
      <c r="H40" s="15"/>
      <c r="I40" s="11" t="str">
        <f>B40</f>
        <v>D) Beurteilungspegel:</v>
      </c>
      <c r="J40" s="12"/>
      <c r="K40" s="12"/>
      <c r="L40" s="12"/>
      <c r="M40" s="12"/>
      <c r="N40" s="13"/>
    </row>
    <row r="41" spans="1:14" ht="30" customHeight="1" x14ac:dyDescent="0.2">
      <c r="A41" s="47"/>
      <c r="B41" s="91" t="s">
        <v>20</v>
      </c>
      <c r="C41" s="90" t="s">
        <v>29</v>
      </c>
      <c r="D41" s="90" t="s">
        <v>30</v>
      </c>
      <c r="E41" s="89" t="s">
        <v>70</v>
      </c>
      <c r="F41" s="72" t="s">
        <v>31</v>
      </c>
      <c r="G41" s="49"/>
      <c r="H41" s="15"/>
      <c r="I41" s="91" t="s">
        <v>20</v>
      </c>
      <c r="J41" s="90" t="s">
        <v>29</v>
      </c>
      <c r="K41" s="90" t="s">
        <v>30</v>
      </c>
      <c r="L41" s="89" t="s">
        <v>70</v>
      </c>
      <c r="M41" s="72" t="s">
        <v>31</v>
      </c>
      <c r="N41" s="13"/>
    </row>
    <row r="42" spans="1:14" ht="30" customHeight="1" x14ac:dyDescent="0.2">
      <c r="A42" s="47"/>
      <c r="B42" s="102">
        <f>IF(COUNT(C15:C23)=0,"",MEDIAN(C15:C23))</f>
        <v>37.799999999999997</v>
      </c>
      <c r="C42" s="103">
        <f>IF(F35&lt;&gt;"",F35,IF(ISERROR(VLOOKUP("x",B29:F32,5,FALSE)),"",VLOOKUP("x",B29:F32,5,FALSE)))</f>
        <v>-1.2232400123321909</v>
      </c>
      <c r="D42" s="103">
        <f>IF(F38="","",F38)</f>
        <v>3</v>
      </c>
      <c r="E42" s="92">
        <v>2</v>
      </c>
      <c r="F42" s="98">
        <f>IF(B42="","",SUM(B42:E42))</f>
        <v>41.576759987667806</v>
      </c>
      <c r="G42" s="51"/>
      <c r="H42" s="16"/>
      <c r="I42" s="102">
        <f>IF(COUNT(J15:J23)=0,"",MEDIAN(J15:J23))</f>
        <v>31.1</v>
      </c>
      <c r="J42" s="103">
        <f>IF(M35&lt;&gt;"",M35,IF(ISERROR(VLOOKUP("x",I29:M32,5,FALSE)),"",VLOOKUP("x",I29:M32,5,FALSE)))</f>
        <v>-0.89486964663914748</v>
      </c>
      <c r="K42" s="103">
        <f>IF(M38="","",M38)</f>
        <v>0</v>
      </c>
      <c r="L42" s="92">
        <v>6</v>
      </c>
      <c r="M42" s="98">
        <f>IF(I42="","",SUM(I42:L42))</f>
        <v>36.205130353360857</v>
      </c>
      <c r="N42" s="13"/>
    </row>
    <row r="43" spans="1:14" ht="15" customHeight="1" x14ac:dyDescent="0.2">
      <c r="A43" s="47"/>
      <c r="B43" s="94"/>
      <c r="C43" s="94"/>
      <c r="D43" s="94"/>
      <c r="E43" s="105"/>
      <c r="F43" s="77" t="s">
        <v>66</v>
      </c>
      <c r="G43" s="51"/>
      <c r="H43" s="16"/>
      <c r="I43" s="93"/>
      <c r="J43" s="93"/>
      <c r="K43" s="93"/>
      <c r="L43" s="106"/>
      <c r="M43" s="86" t="s">
        <v>66</v>
      </c>
      <c r="N43" s="13"/>
    </row>
    <row r="44" spans="1:14" ht="30" customHeight="1" x14ac:dyDescent="0.2">
      <c r="A44" s="47"/>
      <c r="B44" s="48" t="s">
        <v>62</v>
      </c>
      <c r="C44" s="49"/>
      <c r="D44" s="155" t="str">
        <f>IF(F10="","",IF(YEAR(Bewilligungsdatum)&lt;1985,"bestehende Anlage","Neuanlage"))</f>
        <v>Neuanlage</v>
      </c>
      <c r="E44" s="155"/>
      <c r="F44" s="155"/>
      <c r="G44" s="49"/>
      <c r="H44" s="15"/>
      <c r="I44" s="11" t="str">
        <f>B44</f>
        <v>E) Richtwerte eingehalten für</v>
      </c>
      <c r="J44" s="12"/>
      <c r="K44" s="156" t="str">
        <f>IF(F10="","",IF(YEAR(Bewilligungsdatum)&lt;1985,"bestehende Anlage","Neuanlage"))</f>
        <v>Neuanlage</v>
      </c>
      <c r="L44" s="156"/>
      <c r="M44" s="156"/>
      <c r="N44" s="13"/>
    </row>
    <row r="45" spans="1:14" ht="30" customHeight="1" x14ac:dyDescent="0.2">
      <c r="A45" s="47"/>
      <c r="B45" s="10" t="s">
        <v>21</v>
      </c>
      <c r="C45" s="58" t="s">
        <v>10</v>
      </c>
      <c r="D45" s="9" t="str">
        <f>IF(OR(ES="",D44=""),"Tag",IF(D44="Neuanlage",CONCATENATE("Tag:              ",VLOOKUP(ES,$P$16:$V$19,2)," dB"),CONCATENATE("Tag:              ",VLOOKUP(ES,$P$16:$V$19,5)," dB")))</f>
        <v>Tag:              50 dB</v>
      </c>
      <c r="E45" s="9" t="str">
        <f>IF(OR(ES="",D44=""),"Abend",IF(D44="Neuanlage",CONCATENATE("Abend:              ",VLOOKUP(ES,$P$16:$V$19,3)," dB"),CONCATENATE("Abend:              ",VLOOKUP(ES,$P$16:$V$19,6)," dB")))</f>
        <v>Abend:              45 dB</v>
      </c>
      <c r="F45" s="9" t="str">
        <f>IF(OR(ES="",D44=""),"Nacht",IF(D44="Neuanlage",CONCATENATE("Nacht:              ",VLOOKUP(ES,$P$16:$V$19,4)," dB"),CONCATENATE("Nacht:              ",VLOOKUP(ES,$P$16:$V$19,7)," dB")))</f>
        <v>Nacht:              40 dB</v>
      </c>
      <c r="G45" s="50"/>
      <c r="H45" s="14"/>
      <c r="I45" s="10" t="s">
        <v>21</v>
      </c>
      <c r="J45" s="58" t="s">
        <v>10</v>
      </c>
      <c r="K45" s="9" t="str">
        <f>IF(OR(ES="",K44=""),"Tag",IF(K44="Neuanlage",CONCATENATE("Tag:              ",VLOOKUP(ES,$P$6:$V$9,2)," dB"),CONCATENATE("Tag:              ",VLOOKUP(ES,$P$6:$V$9,5)," dB")))</f>
        <v>Tag:              40 dB</v>
      </c>
      <c r="L45" s="9" t="str">
        <f>IF(OR(ES="",K44=""),"Abend",IF(K44="Neuanlage",CONCATENATE("Abend:              ",VLOOKUP(ES,$P$6:$V$9,3)," dB"),CONCATENATE("Abend:              ",VLOOKUP(ES,$P$6:$V$9,6)," dB")))</f>
        <v>Abend:              35 dB</v>
      </c>
      <c r="M45" s="9" t="str">
        <f>IF(OR(ES="",K44=""),"Nacht",IF(K44="Neuanlage",CONCATENATE("Nacht:              ",VLOOKUP(ES,$P$6:$V$9,4)," dB"),CONCATENATE("Nacht:              ",VLOOKUP(ES,$P$6:$V$9,7)," dB")))</f>
        <v>Nacht:              30 dB</v>
      </c>
      <c r="N45" s="13"/>
    </row>
    <row r="46" spans="1:14" ht="30" customHeight="1" x14ac:dyDescent="0.2">
      <c r="A46" s="47"/>
      <c r="B46" s="98">
        <f>IF(F42="","",F42)</f>
        <v>41.576759987667806</v>
      </c>
      <c r="C46" s="104" t="str">
        <f>IF(ES="","",ES)</f>
        <v>III</v>
      </c>
      <c r="D46" s="104" t="str">
        <f>IF(OR($B46="",D44=""),"",IF(D44="Neuanlage",IF(ROUND($B46,1)&gt;VLOOKUP(ES,$P$16:$V$19,2,FALSE),"Nein","Ja"),IF(ROUND($B46,1)&gt;VLOOKUP(ES,$P$16:$V$19,5,FALSE),"Nein","Ja")))</f>
        <v>Ja</v>
      </c>
      <c r="E46" s="104" t="str">
        <f>IF(OR($B46="",D44=""),"",IF($D$44="Neuanlage",IF(ROUND($B46,1)&gt;VLOOKUP(ES,$P$16:$V$19,3,FALSE),"Nein","Ja"),IF(ROUND($B46,1)&gt;VLOOKUP(ES,$P$16:$V$19,6,FALSE),"Nein","Ja")))</f>
        <v>Ja</v>
      </c>
      <c r="F46" s="104" t="str">
        <f>IF(OR($B46="",D44=""),"",IF($D$44="Neuanlage",IF(ROUND($B46,1)&gt;VLOOKUP(ES,$P$16:$V$19,4,FALSE),"Nein","Ja"),IF(ROUND($B46,1)&gt;VLOOKUP(ES,$P$16:$V$19,7,FALSE),"Nein","Ja")))</f>
        <v>Nein</v>
      </c>
      <c r="G46" s="50"/>
      <c r="H46" s="14"/>
      <c r="I46" s="98">
        <f>IF(M42="","",M42)</f>
        <v>36.205130353360857</v>
      </c>
      <c r="J46" s="104" t="str">
        <f>IF(ES="","",ES)</f>
        <v>III</v>
      </c>
      <c r="K46" s="104" t="str">
        <f>IF(OR($I46="",K44=""),"",IF($K$44="Neuanlage",IF(ROUND($I46,1)&gt;VLOOKUP(ES,$P$6:$V$9,2,FALSE),"Nein","Ja"),IF(ROUND($B46,1)&gt;VLOOKUP(ES,$P$6:$V$9,5,FALSE),"Nein","Ja")))</f>
        <v>Ja</v>
      </c>
      <c r="L46" s="104" t="str">
        <f>IF(OR($I46="",K44=""),"",IF($K$44="Neuanlage",IF(ROUND($I46,1)&gt;VLOOKUP(ES,$P$6:$V$9,3,FALSE),"Nein","Ja"),IF(ROUND($I46,1)&gt;VLOOKUP(ES,$P$6:$V$9,6,FALSE),"Nein","Ja")))</f>
        <v>Nein</v>
      </c>
      <c r="M46" s="104" t="str">
        <f>IF(OR($I46="",K44=""),"",IF($K$44="Neuanlage",IF(ROUND($I46,1)&gt;VLOOKUP(ES,$P$6:$V$9,4,FALSE),"Nein","Ja"),IF(ROUND($I46,1)&gt;VLOOKUP(ES,$P$6:$V$9,7,FALSE),"Nein","Ja")))</f>
        <v>Nein</v>
      </c>
      <c r="N46" s="13"/>
    </row>
    <row r="47" spans="1:14" ht="12.95" customHeight="1" x14ac:dyDescent="0.2">
      <c r="A47" s="55"/>
      <c r="B47" s="56"/>
      <c r="C47" s="56"/>
      <c r="D47" s="56"/>
      <c r="E47" s="56"/>
      <c r="F47" s="56"/>
      <c r="G47" s="56"/>
      <c r="H47" s="21"/>
      <c r="I47" s="22"/>
      <c r="J47" s="22"/>
      <c r="K47" s="22"/>
      <c r="L47" s="22"/>
      <c r="M47" s="22"/>
      <c r="N47" s="23"/>
    </row>
  </sheetData>
  <sheetProtection algorithmName="SHA-512" hashValue="Mc8sFF1+xvllECH5xMSs4dYeqn7RK3IVP9gYnWjUYhflHFOiuoMlu/K79n/tRb2rgn6OQfRDUz/uZk3sk8AnDw==" saltValue="QVLhn5IZLwo7H8NSTqWeBg==" spinCount="100000" sheet="1" objects="1" scenarios="1" selectLockedCells="1"/>
  <mergeCells count="35">
    <mergeCell ref="A1:N1"/>
    <mergeCell ref="A2:N2"/>
    <mergeCell ref="C4:F4"/>
    <mergeCell ref="J4:K4"/>
    <mergeCell ref="P4:P5"/>
    <mergeCell ref="P1:V1"/>
    <mergeCell ref="T14:V14"/>
    <mergeCell ref="B13:F13"/>
    <mergeCell ref="I13:M13"/>
    <mergeCell ref="I9:I10"/>
    <mergeCell ref="T4:V4"/>
    <mergeCell ref="C5:F5"/>
    <mergeCell ref="J6:M6"/>
    <mergeCell ref="J7:M7"/>
    <mergeCell ref="J8:M8"/>
    <mergeCell ref="C9:F9"/>
    <mergeCell ref="J9:M9"/>
    <mergeCell ref="Q4:S4"/>
    <mergeCell ref="J10:M10"/>
    <mergeCell ref="A12:G12"/>
    <mergeCell ref="H12:N12"/>
    <mergeCell ref="P14:P15"/>
    <mergeCell ref="Q14:S14"/>
    <mergeCell ref="C28:E28"/>
    <mergeCell ref="J28:L28"/>
    <mergeCell ref="C29:E29"/>
    <mergeCell ref="J29:L29"/>
    <mergeCell ref="D44:F44"/>
    <mergeCell ref="K44:M44"/>
    <mergeCell ref="C30:E30"/>
    <mergeCell ref="J30:L30"/>
    <mergeCell ref="C31:E31"/>
    <mergeCell ref="J31:L31"/>
    <mergeCell ref="C32:E32"/>
    <mergeCell ref="J32:L32"/>
  </mergeCells>
  <conditionalFormatting sqref="D46:F46">
    <cfRule type="expression" dxfId="12" priority="9">
      <formula>D46="Nein"</formula>
    </cfRule>
    <cfRule type="expression" dxfId="11" priority="10">
      <formula>D46="Ja"</formula>
    </cfRule>
  </conditionalFormatting>
  <conditionalFormatting sqref="K46:M46">
    <cfRule type="expression" dxfId="10" priority="7">
      <formula>K46="Nein"</formula>
    </cfRule>
    <cfRule type="expression" dxfId="9" priority="8">
      <formula>K46="Ja"</formula>
    </cfRule>
  </conditionalFormatting>
  <conditionalFormatting sqref="B29:F32">
    <cfRule type="expression" dxfId="8" priority="6">
      <formula>$B29="x"</formula>
    </cfRule>
  </conditionalFormatting>
  <conditionalFormatting sqref="B15:F23">
    <cfRule type="expression" dxfId="7" priority="11">
      <formula>$C15=MEDIAN($C$15:$C$23)</formula>
    </cfRule>
  </conditionalFormatting>
  <conditionalFormatting sqref="M15:M23">
    <cfRule type="expression" dxfId="6" priority="12">
      <formula>$J15=MEDIAN($J$15:$J$23)</formula>
    </cfRule>
  </conditionalFormatting>
  <conditionalFormatting sqref="I15:L23">
    <cfRule type="expression" dxfId="5" priority="13">
      <formula>$J15=MEDIAN($J$15:$J$23)</formula>
    </cfRule>
  </conditionalFormatting>
  <conditionalFormatting sqref="B29:B32">
    <cfRule type="expression" dxfId="4" priority="5">
      <formula>COUNTA($B$29:$B$32)&gt;1</formula>
    </cfRule>
  </conditionalFormatting>
  <conditionalFormatting sqref="C29:F32">
    <cfRule type="expression" dxfId="3" priority="4">
      <formula>COUNTA($B$29:$B$32)&gt;1</formula>
    </cfRule>
  </conditionalFormatting>
  <conditionalFormatting sqref="I29:M32">
    <cfRule type="expression" dxfId="2" priority="3">
      <formula>$I29="x"</formula>
    </cfRule>
  </conditionalFormatting>
  <conditionalFormatting sqref="I29:I32">
    <cfRule type="expression" dxfId="1" priority="2">
      <formula>COUNTA($I$29:$I$32)&gt;1</formula>
    </cfRule>
  </conditionalFormatting>
  <conditionalFormatting sqref="J29:M32">
    <cfRule type="expression" dxfId="0" priority="1">
      <formula>COUNTA($I$29:$I$32)&gt;1</formula>
    </cfRule>
  </conditionalFormatting>
  <dataValidations count="4">
    <dataValidation type="list" allowBlank="1" showInputMessage="1" showErrorMessage="1" sqref="C10">
      <formula1>"S1,S1&amp;S2,S5,S1&amp;S5,S1&amp;S2&amp;S5"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B29:B32 I29:I32">
      <formula1>"x"</formula1>
    </dataValidation>
    <dataValidation type="list" allowBlank="1" showInputMessage="1" showErrorMessage="1" sqref="E42 L42">
      <formula1>"0,2,4,6"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Ablaufschema</vt:lpstr>
      <vt:lpstr>Messprotokoll_leer</vt:lpstr>
      <vt:lpstr>Messprotokoll_ausgefuellt</vt:lpstr>
      <vt:lpstr>Messprotokoll_ausgefuellt!Bewilligungsdatum</vt:lpstr>
      <vt:lpstr>Messprotokoll_leer!Bewilligungsdatum</vt:lpstr>
      <vt:lpstr>Messprotokoll_ausgefuellt!ES</vt:lpstr>
      <vt:lpstr>Messprotokoll_leer!ES</vt:lpstr>
      <vt:lpstr>Messprotokoll_ausgefuellt!Uhrzeit</vt:lpstr>
      <vt:lpstr>Messprotokoll_leer!Uhrzeit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Thomann Georg</dc:creator>
  <cp:lastModifiedBy>Zivildiensteinsatz FALS</cp:lastModifiedBy>
  <cp:lastPrinted>2017-09-13T16:37:09Z</cp:lastPrinted>
  <dcterms:created xsi:type="dcterms:W3CDTF">2017-08-24T05:28:28Z</dcterms:created>
  <dcterms:modified xsi:type="dcterms:W3CDTF">2019-02-06T09:56:33Z</dcterms:modified>
</cp:coreProperties>
</file>